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1jofls1\0400400_国保年金課$\★国保税係(H22-)\200　係業務のホームページ関係\★簡易試算表★\R6\"/>
    </mc:Choice>
  </mc:AlternateContent>
  <xr:revisionPtr revIDLastSave="0" documentId="8_{57FD23F8-85D0-44E3-915A-0A5B3ABB290E}" xr6:coauthVersionLast="47" xr6:coauthVersionMax="47" xr10:uidLastSave="{00000000-0000-0000-0000-000000000000}"/>
  <workbookProtection workbookAlgorithmName="SHA-512" workbookHashValue="DnY/gbrD6j4gMwXK9AAneWPjRU8mPTOq+YoM2lA7HeYQGXFnivdLHsU5WjT3psutDuy2sw7kYDtk6HrPdXZ2Ig==" workbookSaltValue="FKQ8WaKkxMBSSbGixi1KIQ==" workbookSpinCount="100000" lockStructure="1"/>
  <bookViews>
    <workbookView xWindow="-120" yWindow="-120" windowWidth="29040" windowHeight="15720" xr2:uid="{00000000-000D-0000-FFFF-FFFF00000000}"/>
  </bookViews>
  <sheets>
    <sheet name="簡易試算表" sheetId="1" r:id="rId1"/>
    <sheet name="テーブル" sheetId="2" state="hidden" r:id="rId2"/>
    <sheet name="案分率等" sheetId="3" state="hidden" r:id="rId3"/>
    <sheet name="所得換算" sheetId="4" state="hidden" r:id="rId4"/>
    <sheet name="軽減計算" sheetId="5" state="hidden" r:id="rId5"/>
    <sheet name="貼り付け図" sheetId="6" state="hidden" r:id="rId6"/>
  </sheets>
  <definedNames>
    <definedName name="_xlnm.Print_Area" localSheetId="0">簡易試算表!$A$59:$AM$83,簡易試算表!$A$86:$AM$115</definedName>
    <definedName name="_xlnm.Print_Area" localSheetId="5">貼り付け図!$A$1:$AM$26,貼り付け図!#REF!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C62" i="1" l="1"/>
  <c r="AA29" i="3" l="1"/>
  <c r="AB28" i="3"/>
  <c r="CH23" i="6" l="1"/>
  <c r="CE23" i="6"/>
  <c r="CB23" i="6"/>
  <c r="AV23" i="6"/>
  <c r="CH22" i="6"/>
  <c r="CE22" i="6"/>
  <c r="CB22" i="6"/>
  <c r="AV22" i="6"/>
  <c r="CH21" i="6"/>
  <c r="CE21" i="6"/>
  <c r="CB21" i="6"/>
  <c r="AV21" i="6"/>
  <c r="CH20" i="6"/>
  <c r="CE20" i="6"/>
  <c r="CB20" i="6"/>
  <c r="AV20" i="6"/>
  <c r="CH19" i="6"/>
  <c r="CE19" i="6"/>
  <c r="CB19" i="6"/>
  <c r="AV19" i="6"/>
  <c r="CH18" i="6"/>
  <c r="CE18" i="6"/>
  <c r="CB18" i="6"/>
  <c r="AV18" i="6"/>
  <c r="BP9" i="6"/>
  <c r="BJ9" i="6"/>
  <c r="BG9" i="6"/>
  <c r="BD9" i="6"/>
  <c r="BC4" i="6"/>
  <c r="BC6" i="6" s="1"/>
  <c r="AZ4" i="6"/>
  <c r="AZ6" i="6" s="1"/>
  <c r="AW4" i="6"/>
  <c r="BF14" i="6" s="1"/>
  <c r="O4" i="6" l="1"/>
  <c r="AU21" i="6" s="1"/>
  <c r="AV9" i="6"/>
  <c r="BI14" i="6"/>
  <c r="BO14" i="6"/>
  <c r="CL14" i="6"/>
  <c r="BL14" i="6"/>
  <c r="N8" i="6"/>
  <c r="BR14" i="6"/>
  <c r="CO14" i="6"/>
  <c r="BF4" i="6"/>
  <c r="BF6" i="6" s="1"/>
  <c r="AW14" i="6"/>
  <c r="BU14" i="6"/>
  <c r="N15" i="6"/>
  <c r="BK4" i="6"/>
  <c r="AZ14" i="6"/>
  <c r="BX14" i="6"/>
  <c r="CI14" i="6"/>
  <c r="BN4" i="6"/>
  <c r="BC14" i="6"/>
  <c r="AU9" i="6" l="1"/>
  <c r="A10" i="6" s="1"/>
  <c r="AU19" i="6"/>
  <c r="A19" i="6" s="1"/>
  <c r="AU18" i="6"/>
  <c r="A18" i="6" s="1"/>
  <c r="AU20" i="6"/>
  <c r="A20" i="6" s="1"/>
  <c r="AU23" i="6"/>
  <c r="AW23" i="6" s="1"/>
  <c r="AU22" i="6"/>
  <c r="AW22" i="6" s="1"/>
  <c r="BQ4" i="6"/>
  <c r="AW9" i="6"/>
  <c r="A21" i="6"/>
  <c r="AW21" i="6"/>
  <c r="AW19" i="6" l="1"/>
  <c r="A22" i="6"/>
  <c r="AW20" i="6"/>
  <c r="AW18" i="6"/>
  <c r="DM18" i="6" s="1"/>
  <c r="A23" i="6"/>
  <c r="DP21" i="6"/>
  <c r="CS21" i="6"/>
  <c r="BY21" i="6"/>
  <c r="CK21" i="6"/>
  <c r="DM21" i="6"/>
  <c r="CQ21" i="6"/>
  <c r="DJ21" i="6"/>
  <c r="CO21" i="6"/>
  <c r="BB21" i="6"/>
  <c r="CM21" i="6"/>
  <c r="AZ21" i="6"/>
  <c r="DV17" i="6"/>
  <c r="AZ9" i="6"/>
  <c r="BR9" i="6" s="1"/>
  <c r="DS17" i="6"/>
  <c r="DM23" i="6"/>
  <c r="CQ23" i="6"/>
  <c r="DJ23" i="6"/>
  <c r="CO23" i="6"/>
  <c r="BB23" i="6"/>
  <c r="DP23" i="6"/>
  <c r="BY23" i="6"/>
  <c r="CM23" i="6"/>
  <c r="AZ23" i="6"/>
  <c r="CK23" i="6"/>
  <c r="CS23" i="6"/>
  <c r="DP22" i="6"/>
  <c r="CS22" i="6"/>
  <c r="BY22" i="6"/>
  <c r="DM22" i="6"/>
  <c r="CQ22" i="6"/>
  <c r="DJ22" i="6"/>
  <c r="CO22" i="6"/>
  <c r="BB22" i="6"/>
  <c r="CM22" i="6"/>
  <c r="AZ22" i="6"/>
  <c r="CK22" i="6"/>
  <c r="AZ19" i="6" l="1"/>
  <c r="BL19" i="6" s="1"/>
  <c r="BN19" i="6" s="1"/>
  <c r="BY19" i="6" s="1"/>
  <c r="DJ19" i="6"/>
  <c r="CO19" i="6"/>
  <c r="DM19" i="6"/>
  <c r="AZ18" i="6"/>
  <c r="CQ18" i="6" s="1"/>
  <c r="DM20" i="6"/>
  <c r="CO18" i="6"/>
  <c r="CO20" i="6"/>
  <c r="DJ20" i="6"/>
  <c r="AZ20" i="6"/>
  <c r="BH20" i="6" s="1"/>
  <c r="BJ20" i="6" s="1"/>
  <c r="DJ18" i="6"/>
  <c r="BL21" i="6"/>
  <c r="BN21" i="6" s="1"/>
  <c r="BH21" i="6"/>
  <c r="BJ21" i="6" s="1"/>
  <c r="BP21" i="6" s="1"/>
  <c r="BD21" i="6"/>
  <c r="BF21" i="6" s="1"/>
  <c r="DV24" i="6"/>
  <c r="BH22" i="6"/>
  <c r="BJ22" i="6" s="1"/>
  <c r="BS22" i="6" s="1"/>
  <c r="BD22" i="6"/>
  <c r="BF22" i="6" s="1"/>
  <c r="BL22" i="6"/>
  <c r="BN22" i="6" s="1"/>
  <c r="BD23" i="6"/>
  <c r="BF23" i="6" s="1"/>
  <c r="BL23" i="6"/>
  <c r="BN23" i="6" s="1"/>
  <c r="BH23" i="6"/>
  <c r="BJ23" i="6" s="1"/>
  <c r="BS23" i="6" s="1"/>
  <c r="BB9" i="6"/>
  <c r="F17" i="6" s="1"/>
  <c r="DS24" i="6"/>
  <c r="J17" i="6" l="1"/>
  <c r="H17" i="6"/>
  <c r="N17" i="6"/>
  <c r="CB17" i="6" s="1"/>
  <c r="X17" i="6"/>
  <c r="CH17" i="6" s="1"/>
  <c r="L17" i="6"/>
  <c r="S17" i="6"/>
  <c r="CE17" i="6" s="1"/>
  <c r="AU17" i="6"/>
  <c r="AV17" i="6"/>
  <c r="AV24" i="6" s="1"/>
  <c r="CQ20" i="6"/>
  <c r="CS20" i="6"/>
  <c r="BB20" i="6"/>
  <c r="BS20" i="6" s="1"/>
  <c r="CS19" i="6"/>
  <c r="CQ19" i="6"/>
  <c r="BB19" i="6"/>
  <c r="CK19" i="6" s="1"/>
  <c r="BD20" i="6"/>
  <c r="BF20" i="6" s="1"/>
  <c r="BB18" i="6"/>
  <c r="CK18" i="6" s="1"/>
  <c r="BL18" i="6"/>
  <c r="BN18" i="6" s="1"/>
  <c r="BY18" i="6" s="1"/>
  <c r="BH18" i="6"/>
  <c r="BJ18" i="6" s="1"/>
  <c r="CS18" i="6"/>
  <c r="BH19" i="6"/>
  <c r="BJ19" i="6" s="1"/>
  <c r="BD18" i="6"/>
  <c r="BF18" i="6" s="1"/>
  <c r="BD19" i="6"/>
  <c r="BF19" i="6" s="1"/>
  <c r="BL20" i="6"/>
  <c r="BN20" i="6" s="1"/>
  <c r="BY20" i="6" s="1"/>
  <c r="BS21" i="6"/>
  <c r="BV21" i="6"/>
  <c r="DG21" i="6" s="1"/>
  <c r="EH21" i="6" s="1"/>
  <c r="BV22" i="6"/>
  <c r="DG22" i="6" s="1"/>
  <c r="EH22" i="6" s="1"/>
  <c r="BV23" i="6"/>
  <c r="DG23" i="6" s="1"/>
  <c r="EQ23" i="6" s="1"/>
  <c r="BP23" i="6"/>
  <c r="BP22" i="6"/>
  <c r="AH9" i="6"/>
  <c r="AH8" i="6"/>
  <c r="AH11" i="6"/>
  <c r="AH10" i="6"/>
  <c r="AU24" i="6" l="1"/>
  <c r="AW17" i="6"/>
  <c r="BV20" i="6"/>
  <c r="DG20" i="6" s="1"/>
  <c r="EQ20" i="6" s="1"/>
  <c r="BP20" i="6"/>
  <c r="DP20" i="6"/>
  <c r="CK20" i="6"/>
  <c r="DP19" i="6"/>
  <c r="BP19" i="6"/>
  <c r="BV19" i="6"/>
  <c r="DG19" i="6" s="1"/>
  <c r="EQ19" i="6" s="1"/>
  <c r="BP18" i="6"/>
  <c r="DP18" i="6"/>
  <c r="BV18" i="6"/>
  <c r="DG18" i="6" s="1"/>
  <c r="BS18" i="6"/>
  <c r="BS19" i="6"/>
  <c r="EQ21" i="6"/>
  <c r="EQ22" i="6"/>
  <c r="EH23" i="6"/>
  <c r="DJ17" i="6" l="1"/>
  <c r="DJ24" i="6" s="1"/>
  <c r="CO17" i="6"/>
  <c r="AZ17" i="6"/>
  <c r="CQ17" i="6" s="1"/>
  <c r="CQ24" i="6" s="1"/>
  <c r="DM17" i="6"/>
  <c r="DM24" i="6" s="1"/>
  <c r="AW24" i="6"/>
  <c r="AZ24" i="6"/>
  <c r="EH20" i="6"/>
  <c r="EH19" i="6"/>
  <c r="EH18" i="6"/>
  <c r="EQ18" i="6"/>
  <c r="BB17" i="6" l="1"/>
  <c r="CS17" i="6"/>
  <c r="CS24" i="6" s="1"/>
  <c r="BD17" i="6"/>
  <c r="BF17" i="6" s="1"/>
  <c r="BL17" i="6"/>
  <c r="BN17" i="6" s="1"/>
  <c r="BY17" i="6" s="1"/>
  <c r="BY24" i="6" s="1"/>
  <c r="BH17" i="6"/>
  <c r="BJ17" i="6" s="1"/>
  <c r="DY17" i="6" l="1"/>
  <c r="DY24" i="6" s="1"/>
  <c r="BV17" i="6"/>
  <c r="DG17" i="6" s="1"/>
  <c r="BP17" i="6"/>
  <c r="BP24" i="6" s="1"/>
  <c r="DP17" i="6"/>
  <c r="DP24" i="6" s="1"/>
  <c r="BS17" i="6"/>
  <c r="BS24" i="6" s="1"/>
  <c r="AZ62" i="1"/>
  <c r="K2" i="2"/>
  <c r="A1" i="1"/>
  <c r="AV79" i="1"/>
  <c r="AV80" i="1"/>
  <c r="AV81" i="1"/>
  <c r="BV24" i="6" l="1"/>
  <c r="F39" i="1"/>
  <c r="AW62" i="1"/>
  <c r="D1" i="4" s="1"/>
  <c r="EH17" i="6"/>
  <c r="EH24" i="6" s="1"/>
  <c r="EH25" i="6" s="1"/>
  <c r="DG24" i="6"/>
  <c r="EQ17" i="6"/>
  <c r="EQ24" i="6" s="1"/>
  <c r="GE73" i="1"/>
  <c r="HQ73" i="1" s="1"/>
  <c r="GX73" i="1"/>
  <c r="AZ64" i="1"/>
  <c r="AV77" i="1"/>
  <c r="AV78" i="1"/>
  <c r="AV76" i="1"/>
  <c r="K3" i="2"/>
  <c r="C26" i="1" s="1"/>
  <c r="BP67" i="1" l="1"/>
  <c r="AV67" i="1" l="1"/>
  <c r="E101" i="4"/>
  <c r="E111" i="4"/>
  <c r="C95" i="1"/>
  <c r="H2" i="5" l="1"/>
  <c r="B1" i="4"/>
  <c r="I4" i="5"/>
  <c r="I3" i="5"/>
  <c r="I5" i="5"/>
  <c r="O5" i="5"/>
  <c r="O4" i="5"/>
  <c r="BN62" i="1"/>
  <c r="BN64" i="1" s="1"/>
  <c r="N73" i="1"/>
  <c r="N66" i="1"/>
  <c r="BK62" i="1"/>
  <c r="AW67" i="1" s="1"/>
  <c r="CL72" i="1"/>
  <c r="CI72" i="1"/>
  <c r="CO72" i="1"/>
  <c r="BI72" i="1"/>
  <c r="BL72" i="1"/>
  <c r="BF72" i="1"/>
  <c r="BR72" i="1"/>
  <c r="BO72" i="1"/>
  <c r="AW72" i="1"/>
  <c r="BU72" i="1"/>
  <c r="AZ72" i="1"/>
  <c r="BX72" i="1"/>
  <c r="BF62" i="1"/>
  <c r="BF64" i="1" s="1"/>
  <c r="B20" i="1" s="1"/>
  <c r="BC72" i="1"/>
  <c r="HY83" i="1" l="1"/>
  <c r="IG83" i="1"/>
  <c r="HZ83" i="1"/>
  <c r="IH83" i="1"/>
  <c r="IA83" i="1"/>
  <c r="HW83" i="1"/>
  <c r="IB83" i="1"/>
  <c r="IC83" i="1"/>
  <c r="ID83" i="1"/>
  <c r="HX83" i="1"/>
  <c r="IE83" i="1"/>
  <c r="IF83" i="1"/>
  <c r="HH83" i="1"/>
  <c r="HI83" i="1"/>
  <c r="HB83" i="1"/>
  <c r="HJ83" i="1"/>
  <c r="HC83" i="1"/>
  <c r="HK83" i="1"/>
  <c r="HD83" i="1"/>
  <c r="HL83" i="1"/>
  <c r="HE83" i="1"/>
  <c r="HA83" i="1"/>
  <c r="HF83" i="1"/>
  <c r="HG83" i="1"/>
  <c r="IB73" i="1"/>
  <c r="IA73" i="1"/>
  <c r="IH73" i="1"/>
  <c r="HZ73" i="1"/>
  <c r="IE73" i="1"/>
  <c r="IG73" i="1"/>
  <c r="HY73" i="1"/>
  <c r="IF73" i="1"/>
  <c r="HX73" i="1"/>
  <c r="HW73" i="1"/>
  <c r="IC73" i="1"/>
  <c r="ID73" i="1"/>
  <c r="HL73" i="1"/>
  <c r="HD73" i="1"/>
  <c r="HJ73" i="1"/>
  <c r="HB73" i="1"/>
  <c r="HA73" i="1"/>
  <c r="HH73" i="1"/>
  <c r="HK73" i="1"/>
  <c r="HC73" i="1"/>
  <c r="HI73" i="1"/>
  <c r="HG73" i="1"/>
  <c r="HF73" i="1"/>
  <c r="HE73" i="1"/>
  <c r="GI83" i="1"/>
  <c r="GQ83" i="1"/>
  <c r="GO83" i="1"/>
  <c r="GJ83" i="1"/>
  <c r="GR83" i="1"/>
  <c r="GM83" i="1"/>
  <c r="GK83" i="1"/>
  <c r="GS83" i="1"/>
  <c r="GN83" i="1"/>
  <c r="GL83" i="1"/>
  <c r="GH83" i="1"/>
  <c r="GP83" i="1"/>
  <c r="GS73" i="1"/>
  <c r="GP73" i="1"/>
  <c r="GQ73" i="1"/>
  <c r="GR73" i="1"/>
  <c r="GH73" i="1"/>
  <c r="GJ73" i="1"/>
  <c r="GM73" i="1"/>
  <c r="GO73" i="1"/>
  <c r="GK73" i="1"/>
  <c r="GL73" i="1"/>
  <c r="GN73" i="1"/>
  <c r="GI73" i="1"/>
  <c r="DV75" i="1"/>
  <c r="DV82" i="1" s="1"/>
  <c r="A52" i="4"/>
  <c r="D3" i="5" s="1"/>
  <c r="A62" i="4"/>
  <c r="DS75" i="1"/>
  <c r="DS82" i="1" s="1"/>
  <c r="D40" i="4"/>
  <c r="D30" i="4"/>
  <c r="HM83" i="1" l="1"/>
  <c r="II83" i="1"/>
  <c r="GT83" i="1"/>
  <c r="AZ67" i="1"/>
  <c r="BB67" i="1" s="1"/>
  <c r="F75" i="1" s="1"/>
  <c r="E24" i="5"/>
  <c r="E23" i="5"/>
  <c r="E22" i="5"/>
  <c r="E10" i="5"/>
  <c r="E9" i="5"/>
  <c r="E8" i="5"/>
  <c r="E7" i="5"/>
  <c r="C7" i="5"/>
  <c r="E6" i="5"/>
  <c r="C6" i="5"/>
  <c r="E5" i="5"/>
  <c r="C5" i="5"/>
  <c r="E4" i="5"/>
  <c r="C4" i="5"/>
  <c r="K2" i="5"/>
  <c r="CH77" i="1"/>
  <c r="CH78" i="1"/>
  <c r="CH79" i="1"/>
  <c r="CH80" i="1"/>
  <c r="CH81" i="1"/>
  <c r="CH76" i="1"/>
  <c r="CE76" i="1"/>
  <c r="CE77" i="1"/>
  <c r="CE78" i="1"/>
  <c r="CE79" i="1"/>
  <c r="CE80" i="1"/>
  <c r="CE81" i="1"/>
  <c r="CB76" i="1"/>
  <c r="CB77" i="1"/>
  <c r="CB78" i="1"/>
  <c r="CB79" i="1"/>
  <c r="CB80" i="1"/>
  <c r="CB81" i="1"/>
  <c r="BJ67" i="1"/>
  <c r="BG67" i="1"/>
  <c r="BD67" i="1"/>
  <c r="BC62" i="1"/>
  <c r="BC64" i="1" s="1"/>
  <c r="AA28" i="3"/>
  <c r="AB27" i="3"/>
  <c r="AA27" i="3"/>
  <c r="AB26" i="3"/>
  <c r="AA26" i="3"/>
  <c r="AB25" i="3"/>
  <c r="AA25" i="3"/>
  <c r="AB24" i="3"/>
  <c r="AA24" i="3"/>
  <c r="AB23" i="3"/>
  <c r="AA23" i="3"/>
  <c r="AB22" i="3"/>
  <c r="AA22" i="3"/>
  <c r="AB21" i="3"/>
  <c r="AA21" i="3"/>
  <c r="AB20" i="3"/>
  <c r="AA20" i="3"/>
  <c r="AB19" i="3"/>
  <c r="AA19" i="3"/>
  <c r="AB18" i="3"/>
  <c r="AA18" i="3"/>
  <c r="AB17" i="3"/>
  <c r="AA17" i="3"/>
  <c r="AB16" i="3"/>
  <c r="AA16" i="3"/>
  <c r="AB15" i="3"/>
  <c r="AA15" i="3"/>
  <c r="AB14" i="3"/>
  <c r="AA14" i="3"/>
  <c r="AB13" i="3"/>
  <c r="AA13" i="3"/>
  <c r="AB12" i="3"/>
  <c r="AA12" i="3"/>
  <c r="AB11" i="3"/>
  <c r="AA11" i="3"/>
  <c r="AB10" i="3"/>
  <c r="AA10" i="3"/>
  <c r="AB9" i="3"/>
  <c r="AA9" i="3"/>
  <c r="AB8" i="3"/>
  <c r="AA8" i="3"/>
  <c r="AB7" i="3"/>
  <c r="AA7" i="3"/>
  <c r="AB6" i="3"/>
  <c r="AA6" i="3"/>
  <c r="AB5" i="3"/>
  <c r="AA5" i="3"/>
  <c r="AB4" i="3"/>
  <c r="AA4" i="3"/>
  <c r="X75" i="1" l="1"/>
  <c r="L75" i="1"/>
  <c r="H75" i="1"/>
  <c r="J75" i="1"/>
  <c r="N75" i="1"/>
  <c r="S75" i="1"/>
  <c r="AH68" i="1"/>
  <c r="AH69" i="1"/>
  <c r="AH66" i="1"/>
  <c r="AH67" i="1"/>
  <c r="C11" i="5"/>
  <c r="E113" i="4"/>
  <c r="E103" i="4"/>
  <c r="E118" i="4"/>
  <c r="E108" i="4"/>
  <c r="B82" i="4"/>
  <c r="E82" i="4" s="1"/>
  <c r="C82" i="4" s="1"/>
  <c r="B95" i="4"/>
  <c r="E95" i="4" s="1"/>
  <c r="C95" i="4" s="1"/>
  <c r="E107" i="4"/>
  <c r="E117" i="4"/>
  <c r="B94" i="4"/>
  <c r="B81" i="4"/>
  <c r="E106" i="4"/>
  <c r="E116" i="4"/>
  <c r="B93" i="4"/>
  <c r="E93" i="4" s="1"/>
  <c r="C93" i="4" s="1"/>
  <c r="B80" i="4"/>
  <c r="E80" i="4" s="1"/>
  <c r="C80" i="4" s="1"/>
  <c r="E115" i="4"/>
  <c r="E105" i="4"/>
  <c r="B92" i="4"/>
  <c r="E92" i="4" s="1"/>
  <c r="C92" i="4" s="1"/>
  <c r="B79" i="4"/>
  <c r="E79" i="4" s="1"/>
  <c r="C79" i="4" s="1"/>
  <c r="B90" i="4"/>
  <c r="E90" i="4" s="1"/>
  <c r="C90" i="4" s="1"/>
  <c r="B77" i="4"/>
  <c r="E77" i="4" s="1"/>
  <c r="C77" i="4" s="1"/>
  <c r="E104" i="4"/>
  <c r="E114" i="4"/>
  <c r="B78" i="4"/>
  <c r="E78" i="4" s="1"/>
  <c r="C78" i="4" s="1"/>
  <c r="B91" i="4"/>
  <c r="E91" i="4" s="1"/>
  <c r="C91" i="4" s="1"/>
  <c r="B88" i="4"/>
  <c r="E88" i="4" s="1"/>
  <c r="C88" i="4" s="1"/>
  <c r="B75" i="4"/>
  <c r="E75" i="4" s="1"/>
  <c r="C75" i="4" s="1"/>
  <c r="B7" i="4"/>
  <c r="C30" i="4"/>
  <c r="C62" i="4" l="1"/>
  <c r="C52" i="4"/>
  <c r="G7" i="4"/>
  <c r="D7" i="4" s="1"/>
  <c r="C7" i="4" s="1"/>
  <c r="H7" i="4"/>
  <c r="D95" i="4"/>
  <c r="D93" i="4"/>
  <c r="D79" i="4"/>
  <c r="D77" i="4"/>
  <c r="D80" i="4"/>
  <c r="D92" i="4"/>
  <c r="D82" i="4"/>
  <c r="D90" i="4"/>
  <c r="D81" i="4"/>
  <c r="E81" i="4"/>
  <c r="C81" i="4" s="1"/>
  <c r="D94" i="4"/>
  <c r="E94" i="4"/>
  <c r="C94" i="4" s="1"/>
  <c r="D78" i="4"/>
  <c r="D91" i="4"/>
  <c r="F7" i="4"/>
  <c r="B17" i="4"/>
  <c r="E7" i="4"/>
  <c r="D75" i="4"/>
  <c r="D88" i="4"/>
  <c r="C40" i="4"/>
  <c r="E17" i="4" l="1"/>
  <c r="H17" i="4"/>
  <c r="G17" i="4"/>
  <c r="D17" i="4" s="1"/>
  <c r="C17" i="4" s="1"/>
  <c r="F17" i="4"/>
  <c r="BR67" i="1" l="1"/>
  <c r="O62" i="1"/>
  <c r="BQ62" i="1"/>
  <c r="AU67" i="1" l="1"/>
  <c r="A68" i="1" s="1"/>
  <c r="AU78" i="1"/>
  <c r="A78" i="1" s="1"/>
  <c r="AU80" i="1"/>
  <c r="A80" i="1" s="1"/>
  <c r="AU81" i="1"/>
  <c r="AU76" i="1"/>
  <c r="A76" i="1" s="1"/>
  <c r="AU77" i="1"/>
  <c r="A77" i="1" s="1"/>
  <c r="AU79" i="1"/>
  <c r="A79" i="1" s="1"/>
  <c r="C111" i="4"/>
  <c r="C101" i="4"/>
  <c r="AW81" i="1" l="1"/>
  <c r="GE81" i="1" s="1"/>
  <c r="A81" i="1"/>
  <c r="AV83" i="1" s="1"/>
  <c r="AW79" i="1"/>
  <c r="GE79" i="1" s="1"/>
  <c r="AW77" i="1"/>
  <c r="AW76" i="1"/>
  <c r="AW80" i="1"/>
  <c r="GE80" i="1" s="1"/>
  <c r="AW78" i="1"/>
  <c r="GJ80" i="1" l="1"/>
  <c r="GR80" i="1"/>
  <c r="GL80" i="1"/>
  <c r="GP80" i="1"/>
  <c r="GQ80" i="1"/>
  <c r="GK80" i="1"/>
  <c r="GS80" i="1"/>
  <c r="GM80" i="1"/>
  <c r="GI80" i="1"/>
  <c r="GN80" i="1"/>
  <c r="GO80" i="1"/>
  <c r="GH80" i="1"/>
  <c r="GN79" i="1"/>
  <c r="GH79" i="1"/>
  <c r="GI79" i="1"/>
  <c r="GQ79" i="1"/>
  <c r="GO79" i="1"/>
  <c r="GP79" i="1"/>
  <c r="GL79" i="1"/>
  <c r="GJ79" i="1"/>
  <c r="GR79" i="1"/>
  <c r="GK79" i="1"/>
  <c r="GS79" i="1"/>
  <c r="GM79" i="1"/>
  <c r="GN81" i="1"/>
  <c r="GP81" i="1"/>
  <c r="GI81" i="1"/>
  <c r="GS81" i="1"/>
  <c r="GO81" i="1"/>
  <c r="GH81" i="1"/>
  <c r="GQ81" i="1"/>
  <c r="GL81" i="1"/>
  <c r="GJ81" i="1"/>
  <c r="GR81" i="1"/>
  <c r="GK81" i="1"/>
  <c r="GM81" i="1"/>
  <c r="GX80" i="1"/>
  <c r="GX79" i="1"/>
  <c r="GX81" i="1"/>
  <c r="GU80" i="1"/>
  <c r="GU79" i="1"/>
  <c r="GU81" i="1"/>
  <c r="DJ79" i="1"/>
  <c r="DM79" i="1"/>
  <c r="DJ80" i="1"/>
  <c r="DM80" i="1"/>
  <c r="DJ81" i="1"/>
  <c r="DM81" i="1"/>
  <c r="BV79" i="1"/>
  <c r="CK79" i="1"/>
  <c r="BV80" i="1"/>
  <c r="CK80" i="1"/>
  <c r="BV81" i="1"/>
  <c r="CK81" i="1"/>
  <c r="BY80" i="1"/>
  <c r="BY79" i="1"/>
  <c r="BY81" i="1"/>
  <c r="A56" i="4"/>
  <c r="A66" i="4"/>
  <c r="C66" i="4" s="1"/>
  <c r="A58" i="4"/>
  <c r="A68" i="4"/>
  <c r="C68" i="4" s="1"/>
  <c r="A54" i="4"/>
  <c r="A64" i="4"/>
  <c r="C64" i="4" s="1"/>
  <c r="A55" i="4"/>
  <c r="A65" i="4"/>
  <c r="C65" i="4" s="1"/>
  <c r="A57" i="4"/>
  <c r="A67" i="4"/>
  <c r="C67" i="4" s="1"/>
  <c r="A59" i="4"/>
  <c r="A69" i="4"/>
  <c r="C69" i="4" s="1"/>
  <c r="CM80" i="1"/>
  <c r="CO76" i="1"/>
  <c r="B42" i="4" s="1"/>
  <c r="D42" i="4" s="1"/>
  <c r="C42" i="4" s="1"/>
  <c r="DP79" i="1"/>
  <c r="DP81" i="1"/>
  <c r="CM79" i="1"/>
  <c r="BB81" i="1"/>
  <c r="CM81" i="1"/>
  <c r="B14" i="4"/>
  <c r="CS81" i="1"/>
  <c r="AZ81" i="1"/>
  <c r="CQ81" i="1"/>
  <c r="BB79" i="1"/>
  <c r="BB80" i="1"/>
  <c r="CS79" i="1"/>
  <c r="B12" i="4"/>
  <c r="B13" i="4"/>
  <c r="AZ79" i="1"/>
  <c r="CO81" i="1"/>
  <c r="B37" i="4" s="1"/>
  <c r="D37" i="4" s="1"/>
  <c r="C37" i="4" s="1"/>
  <c r="AZ80" i="1"/>
  <c r="CO79" i="1"/>
  <c r="B35" i="4" s="1"/>
  <c r="D35" i="4" s="1"/>
  <c r="C35" i="4" s="1"/>
  <c r="CQ80" i="1"/>
  <c r="CQ79" i="1"/>
  <c r="B9" i="4"/>
  <c r="H9" i="4" s="1"/>
  <c r="DP80" i="1"/>
  <c r="CO80" i="1"/>
  <c r="B46" i="4" s="1"/>
  <c r="D46" i="4" s="1"/>
  <c r="C46" i="4" s="1"/>
  <c r="D117" i="4" s="1"/>
  <c r="AZ76" i="1"/>
  <c r="CS80" i="1"/>
  <c r="AZ78" i="1"/>
  <c r="CO77" i="1"/>
  <c r="B43" i="4" s="1"/>
  <c r="D43" i="4" s="1"/>
  <c r="C43" i="4" s="1"/>
  <c r="B11" i="4"/>
  <c r="CM78" i="1"/>
  <c r="B10" i="4"/>
  <c r="H10" i="4" s="1"/>
  <c r="CO78" i="1"/>
  <c r="B44" i="4" s="1"/>
  <c r="D44" i="4" s="1"/>
  <c r="C44" i="4" s="1"/>
  <c r="AZ77" i="1"/>
  <c r="CB75" i="1"/>
  <c r="CH75" i="1"/>
  <c r="E102" i="4" s="1"/>
  <c r="CE75" i="1"/>
  <c r="B89" i="4" s="1"/>
  <c r="E89" i="4" s="1"/>
  <c r="BL77" i="1" l="1"/>
  <c r="BN77" i="1" s="1"/>
  <c r="G4" i="2"/>
  <c r="H4" i="2" s="1"/>
  <c r="BL80" i="1"/>
  <c r="BN80" i="1" s="1"/>
  <c r="G7" i="2"/>
  <c r="H7" i="2" s="1"/>
  <c r="BL79" i="1"/>
  <c r="BN79" i="1" s="1"/>
  <c r="G6" i="2"/>
  <c r="H6" i="2" s="1"/>
  <c r="BL81" i="1"/>
  <c r="BN81" i="1" s="1"/>
  <c r="G8" i="2"/>
  <c r="H8" i="2" s="1"/>
  <c r="BL78" i="1"/>
  <c r="BN78" i="1" s="1"/>
  <c r="G5" i="2"/>
  <c r="H5" i="2" s="1"/>
  <c r="BL76" i="1"/>
  <c r="BN76" i="1" s="1"/>
  <c r="G3" i="2"/>
  <c r="H3" i="2" s="1"/>
  <c r="HD81" i="1"/>
  <c r="HL81" i="1"/>
  <c r="HE81" i="1"/>
  <c r="HF81" i="1"/>
  <c r="HG81" i="1"/>
  <c r="HH81" i="1"/>
  <c r="HA81" i="1"/>
  <c r="HI81" i="1"/>
  <c r="HB81" i="1"/>
  <c r="HJ81" i="1"/>
  <c r="HC81" i="1"/>
  <c r="HK81" i="1"/>
  <c r="HD79" i="1"/>
  <c r="HL79" i="1"/>
  <c r="HE79" i="1"/>
  <c r="HF79" i="1"/>
  <c r="HG79" i="1"/>
  <c r="HH79" i="1"/>
  <c r="HA79" i="1"/>
  <c r="HI79" i="1"/>
  <c r="HB79" i="1"/>
  <c r="HJ79" i="1"/>
  <c r="HC79" i="1"/>
  <c r="HK79" i="1"/>
  <c r="HH80" i="1"/>
  <c r="HA80" i="1"/>
  <c r="HI80" i="1"/>
  <c r="HB80" i="1"/>
  <c r="HJ80" i="1"/>
  <c r="HC80" i="1"/>
  <c r="HK80" i="1"/>
  <c r="HD80" i="1"/>
  <c r="HL80" i="1"/>
  <c r="HE80" i="1"/>
  <c r="HF80" i="1"/>
  <c r="HG80" i="1"/>
  <c r="C55" i="4"/>
  <c r="C104" i="4" s="1"/>
  <c r="D17" i="5"/>
  <c r="C54" i="4"/>
  <c r="C103" i="4" s="1"/>
  <c r="D16" i="5"/>
  <c r="C59" i="4"/>
  <c r="C108" i="4" s="1"/>
  <c r="D21" i="5"/>
  <c r="C58" i="4"/>
  <c r="C107" i="4" s="1"/>
  <c r="D20" i="5"/>
  <c r="C57" i="4"/>
  <c r="C106" i="4" s="1"/>
  <c r="D19" i="5"/>
  <c r="C56" i="4"/>
  <c r="C105" i="4" s="1"/>
  <c r="D18" i="5"/>
  <c r="HN79" i="1"/>
  <c r="HN80" i="1"/>
  <c r="HN81" i="1"/>
  <c r="GT80" i="1"/>
  <c r="GV80" i="1" s="1"/>
  <c r="GT79" i="1"/>
  <c r="GV79" i="1" s="1"/>
  <c r="GT81" i="1"/>
  <c r="GV81" i="1" s="1"/>
  <c r="CS78" i="1"/>
  <c r="BB77" i="1"/>
  <c r="CS77" i="1"/>
  <c r="H11" i="4"/>
  <c r="H13" i="4"/>
  <c r="H12" i="4"/>
  <c r="H14" i="4"/>
  <c r="B21" i="4"/>
  <c r="E13" i="4"/>
  <c r="G12" i="4"/>
  <c r="D12" i="4" s="1"/>
  <c r="C12" i="4" s="1"/>
  <c r="B19" i="4"/>
  <c r="F14" i="4"/>
  <c r="E10" i="4"/>
  <c r="B32" i="4"/>
  <c r="D32" i="4" s="1"/>
  <c r="C32" i="4" s="1"/>
  <c r="BB76" i="1"/>
  <c r="CS76" i="1"/>
  <c r="CQ76" i="1"/>
  <c r="C116" i="4"/>
  <c r="BD80" i="1"/>
  <c r="BD81" i="1"/>
  <c r="G14" i="4"/>
  <c r="D14" i="4" s="1"/>
  <c r="C14" i="4" s="1"/>
  <c r="F9" i="4"/>
  <c r="BH81" i="1"/>
  <c r="F12" i="4"/>
  <c r="E12" i="4"/>
  <c r="E9" i="4"/>
  <c r="B22" i="4"/>
  <c r="G9" i="4"/>
  <c r="D9" i="4" s="1"/>
  <c r="C9" i="4" s="1"/>
  <c r="B34" i="4"/>
  <c r="D34" i="4" s="1"/>
  <c r="C34" i="4" s="1"/>
  <c r="BH79" i="1"/>
  <c r="B45" i="4"/>
  <c r="D45" i="4" s="1"/>
  <c r="C45" i="4" s="1"/>
  <c r="B24" i="4"/>
  <c r="C118" i="4"/>
  <c r="E14" i="4"/>
  <c r="BD79" i="1"/>
  <c r="B23" i="4"/>
  <c r="F13" i="4"/>
  <c r="G13" i="4"/>
  <c r="D13" i="4" s="1"/>
  <c r="C13" i="4" s="1"/>
  <c r="C117" i="4"/>
  <c r="BH76" i="1"/>
  <c r="BH80" i="1"/>
  <c r="E11" i="4"/>
  <c r="G11" i="4"/>
  <c r="D11" i="4" s="1"/>
  <c r="C11" i="4" s="1"/>
  <c r="F11" i="4"/>
  <c r="B33" i="4"/>
  <c r="D33" i="4" s="1"/>
  <c r="C33" i="4" s="1"/>
  <c r="BD76" i="1"/>
  <c r="C113" i="4"/>
  <c r="C115" i="4"/>
  <c r="C114" i="4"/>
  <c r="BH78" i="1"/>
  <c r="B36" i="4"/>
  <c r="D36" i="4" s="1"/>
  <c r="C36" i="4" s="1"/>
  <c r="CQ77" i="1"/>
  <c r="CQ78" i="1"/>
  <c r="BB78" i="1"/>
  <c r="CK78" i="1" s="1"/>
  <c r="BD78" i="1"/>
  <c r="BH77" i="1"/>
  <c r="BD77" i="1"/>
  <c r="F10" i="4"/>
  <c r="G10" i="4"/>
  <c r="D10" i="4" s="1"/>
  <c r="C10" i="4" s="1"/>
  <c r="B20" i="4"/>
  <c r="AV75" i="1"/>
  <c r="AV82" i="1" s="1"/>
  <c r="AU75" i="1"/>
  <c r="E112" i="4"/>
  <c r="D89" i="4"/>
  <c r="C89" i="4" s="1"/>
  <c r="B76" i="4"/>
  <c r="E76" i="4" s="1"/>
  <c r="DJ78" i="1" l="1"/>
  <c r="DM78" i="1"/>
  <c r="BY78" i="1"/>
  <c r="GE78" i="1"/>
  <c r="CK77" i="1"/>
  <c r="DM77" i="1" s="1"/>
  <c r="HM79" i="1"/>
  <c r="HO79" i="1" s="1"/>
  <c r="HM80" i="1"/>
  <c r="HO80" i="1" s="1"/>
  <c r="HM81" i="1"/>
  <c r="HO81" i="1" s="1"/>
  <c r="BJ77" i="1"/>
  <c r="BP77" i="1" s="1"/>
  <c r="HU77" i="1" s="1"/>
  <c r="HS77" i="1"/>
  <c r="BJ79" i="1"/>
  <c r="HS79" i="1"/>
  <c r="BJ80" i="1"/>
  <c r="HS80" i="1"/>
  <c r="BJ76" i="1"/>
  <c r="HT76" i="1" s="1"/>
  <c r="HS76" i="1"/>
  <c r="BJ78" i="1"/>
  <c r="HT78" i="1" s="1"/>
  <c r="HS78" i="1"/>
  <c r="BJ81" i="1"/>
  <c r="HS81" i="1"/>
  <c r="BF79" i="1"/>
  <c r="HR79" i="1" s="1"/>
  <c r="HQ79" i="1"/>
  <c r="BF81" i="1"/>
  <c r="HR81" i="1" s="1"/>
  <c r="HQ81" i="1"/>
  <c r="BF78" i="1"/>
  <c r="HR78" i="1" s="1"/>
  <c r="HQ78" i="1"/>
  <c r="BF80" i="1"/>
  <c r="HR80" i="1" s="1"/>
  <c r="HQ80" i="1"/>
  <c r="BF76" i="1"/>
  <c r="HR76" i="1" s="1"/>
  <c r="HQ76" i="1"/>
  <c r="BF77" i="1"/>
  <c r="HR77" i="1" s="1"/>
  <c r="HQ77" i="1"/>
  <c r="GG79" i="1"/>
  <c r="GG80" i="1"/>
  <c r="GG81" i="1"/>
  <c r="GE77" i="1"/>
  <c r="CK76" i="1"/>
  <c r="DJ76" i="1" s="1"/>
  <c r="B57" i="4"/>
  <c r="E57" i="4" s="1"/>
  <c r="D57" i="4" s="1"/>
  <c r="D106" i="4" s="1"/>
  <c r="H22" i="4"/>
  <c r="F22" i="4"/>
  <c r="E22" i="4"/>
  <c r="G22" i="4"/>
  <c r="D22" i="4" s="1"/>
  <c r="C22" i="4" s="1"/>
  <c r="H23" i="4"/>
  <c r="E23" i="4"/>
  <c r="F23" i="4"/>
  <c r="G23" i="4"/>
  <c r="D23" i="4" s="1"/>
  <c r="C23" i="4" s="1"/>
  <c r="H19" i="4"/>
  <c r="E19" i="4"/>
  <c r="G19" i="4"/>
  <c r="D19" i="4" s="1"/>
  <c r="C19" i="4" s="1"/>
  <c r="F19" i="4"/>
  <c r="H24" i="4"/>
  <c r="F24" i="4"/>
  <c r="G24" i="4"/>
  <c r="D24" i="4" s="1"/>
  <c r="C24" i="4" s="1"/>
  <c r="E24" i="4"/>
  <c r="H20" i="4"/>
  <c r="E20" i="4"/>
  <c r="G20" i="4"/>
  <c r="D20" i="4" s="1"/>
  <c r="C20" i="4" s="1"/>
  <c r="F20" i="4"/>
  <c r="H21" i="4"/>
  <c r="G21" i="4"/>
  <c r="D21" i="4" s="1"/>
  <c r="C21" i="4" s="1"/>
  <c r="E21" i="4"/>
  <c r="F21" i="4"/>
  <c r="B105" i="4"/>
  <c r="DG81" i="1"/>
  <c r="EH81" i="1" s="1"/>
  <c r="DG79" i="1"/>
  <c r="EH79" i="1" s="1"/>
  <c r="DG80" i="1"/>
  <c r="EQ80" i="1" s="1"/>
  <c r="AU82" i="1"/>
  <c r="AW75" i="1"/>
  <c r="D76" i="4"/>
  <c r="C76" i="4" s="1"/>
  <c r="GE76" i="1" l="1"/>
  <c r="GX76" i="1" s="1"/>
  <c r="GJ78" i="1"/>
  <c r="GR78" i="1"/>
  <c r="GP78" i="1"/>
  <c r="GQ78" i="1"/>
  <c r="GK78" i="1"/>
  <c r="GS78" i="1"/>
  <c r="GL78" i="1"/>
  <c r="GM78" i="1"/>
  <c r="GN78" i="1"/>
  <c r="GO78" i="1"/>
  <c r="GH78" i="1"/>
  <c r="GI78" i="1"/>
  <c r="GZ81" i="1"/>
  <c r="GF81" i="1"/>
  <c r="GY81" i="1" s="1"/>
  <c r="GZ80" i="1"/>
  <c r="GF80" i="1"/>
  <c r="GY80" i="1" s="1"/>
  <c r="GZ79" i="1"/>
  <c r="GF79" i="1"/>
  <c r="GY79" i="1" s="1"/>
  <c r="DP78" i="1"/>
  <c r="GX78" i="1"/>
  <c r="DJ77" i="1"/>
  <c r="BP80" i="1"/>
  <c r="HU80" i="1" s="1"/>
  <c r="IJ80" i="1" s="1"/>
  <c r="BS80" i="1"/>
  <c r="HV80" i="1" s="1"/>
  <c r="BP81" i="1"/>
  <c r="HU81" i="1" s="1"/>
  <c r="IJ81" i="1" s="1"/>
  <c r="BS81" i="1"/>
  <c r="HV81" i="1" s="1"/>
  <c r="BP79" i="1"/>
  <c r="HU79" i="1" s="1"/>
  <c r="IJ79" i="1" s="1"/>
  <c r="BS79" i="1"/>
  <c r="HV79" i="1" s="1"/>
  <c r="BS78" i="1"/>
  <c r="HV78" i="1" s="1"/>
  <c r="BS77" i="1"/>
  <c r="HV77" i="1" s="1"/>
  <c r="BS76" i="1"/>
  <c r="HV76" i="1" s="1"/>
  <c r="BP78" i="1"/>
  <c r="HU78" i="1" s="1"/>
  <c r="IJ78" i="1" s="1"/>
  <c r="BV77" i="1"/>
  <c r="BP76" i="1"/>
  <c r="HU76" i="1" s="1"/>
  <c r="GX77" i="1"/>
  <c r="DP77" i="1"/>
  <c r="HT80" i="1"/>
  <c r="HT81" i="1"/>
  <c r="HT79" i="1"/>
  <c r="HT77" i="1"/>
  <c r="DP76" i="1"/>
  <c r="BY76" i="1"/>
  <c r="GG76" i="1"/>
  <c r="GG77" i="1"/>
  <c r="GG78" i="1"/>
  <c r="BY77" i="1"/>
  <c r="DM76" i="1"/>
  <c r="B106" i="4"/>
  <c r="F106" i="4" s="1"/>
  <c r="B67" i="4"/>
  <c r="E67" i="4" s="1"/>
  <c r="D67" i="4" s="1"/>
  <c r="D116" i="4" s="1"/>
  <c r="B55" i="4"/>
  <c r="E55" i="4" s="1"/>
  <c r="D55" i="4" s="1"/>
  <c r="D104" i="4" s="1"/>
  <c r="B104" i="4"/>
  <c r="A53" i="4"/>
  <c r="A63" i="4"/>
  <c r="C63" i="4" s="1"/>
  <c r="EQ79" i="1"/>
  <c r="B56" i="4"/>
  <c r="E56" i="4" s="1"/>
  <c r="D56" i="4" s="1"/>
  <c r="D105" i="4" s="1"/>
  <c r="F105" i="4" s="1"/>
  <c r="EH80" i="1"/>
  <c r="EQ81" i="1"/>
  <c r="B107" i="4"/>
  <c r="B58" i="4"/>
  <c r="E58" i="4" s="1"/>
  <c r="D58" i="4" s="1"/>
  <c r="D107" i="4" s="1"/>
  <c r="AW82" i="1"/>
  <c r="AZ82" i="1"/>
  <c r="CO75" i="1"/>
  <c r="DJ75" i="1"/>
  <c r="AZ75" i="1"/>
  <c r="B8" i="4"/>
  <c r="DM75" i="1"/>
  <c r="G2" i="2" l="1"/>
  <c r="H2" i="2" s="1"/>
  <c r="CM75" i="1" s="1"/>
  <c r="CM20" i="6"/>
  <c r="BL75" i="1"/>
  <c r="BN75" i="1" s="1"/>
  <c r="GE75" i="1" s="1"/>
  <c r="HH78" i="1"/>
  <c r="HA78" i="1"/>
  <c r="HI78" i="1"/>
  <c r="HB78" i="1"/>
  <c r="HJ78" i="1"/>
  <c r="HC78" i="1"/>
  <c r="HK78" i="1"/>
  <c r="HD78" i="1"/>
  <c r="HL78" i="1"/>
  <c r="HE78" i="1"/>
  <c r="HF78" i="1"/>
  <c r="HG78" i="1"/>
  <c r="GZ76" i="1"/>
  <c r="GF76" i="1"/>
  <c r="GY76" i="1" s="1"/>
  <c r="GZ78" i="1"/>
  <c r="GF78" i="1"/>
  <c r="GY78" i="1" s="1"/>
  <c r="GZ77" i="1"/>
  <c r="GF77" i="1"/>
  <c r="GY77" i="1" s="1"/>
  <c r="C53" i="4"/>
  <c r="C102" i="4" s="1"/>
  <c r="D15" i="5"/>
  <c r="BV78" i="1"/>
  <c r="DG78" i="1" s="1"/>
  <c r="EQ78" i="1" s="1"/>
  <c r="C112" i="4"/>
  <c r="Q64" i="1"/>
  <c r="Q71" i="1"/>
  <c r="B87" i="1"/>
  <c r="DJ82" i="1"/>
  <c r="BV76" i="1"/>
  <c r="DM82" i="1"/>
  <c r="W89" i="1"/>
  <c r="CS75" i="1"/>
  <c r="CS82" i="1" s="1"/>
  <c r="M3" i="5" s="1"/>
  <c r="S3" i="5" s="1"/>
  <c r="B116" i="4"/>
  <c r="F116" i="4" s="1"/>
  <c r="B19" i="5" s="1"/>
  <c r="E19" i="5" s="1"/>
  <c r="F104" i="4"/>
  <c r="B68" i="4"/>
  <c r="B117" i="4"/>
  <c r="F117" i="4" s="1"/>
  <c r="CX22" i="6" s="1"/>
  <c r="B115" i="4"/>
  <c r="B66" i="4"/>
  <c r="E66" i="4" s="1"/>
  <c r="D66" i="4" s="1"/>
  <c r="D115" i="4" s="1"/>
  <c r="H8" i="4"/>
  <c r="CU78" i="1"/>
  <c r="DD78" i="1" s="1"/>
  <c r="EN78" i="1" s="1"/>
  <c r="CU20" i="6"/>
  <c r="CU79" i="1"/>
  <c r="DD79" i="1" s="1"/>
  <c r="EE79" i="1" s="1"/>
  <c r="CU21" i="6"/>
  <c r="BB75" i="1"/>
  <c r="CQ75" i="1"/>
  <c r="F107" i="4"/>
  <c r="F8" i="4"/>
  <c r="E8" i="4"/>
  <c r="B18" i="4"/>
  <c r="G8" i="4"/>
  <c r="D8" i="4" s="1"/>
  <c r="BD75" i="1"/>
  <c r="BH75" i="1"/>
  <c r="B41" i="4"/>
  <c r="D41" i="4" s="1"/>
  <c r="C41" i="4" s="1"/>
  <c r="B31" i="4"/>
  <c r="D31" i="4" s="1"/>
  <c r="C31" i="4" s="1"/>
  <c r="AK95" i="1"/>
  <c r="AB91" i="1"/>
  <c r="W95" i="1"/>
  <c r="AB93" i="1"/>
  <c r="W91" i="1"/>
  <c r="AK93" i="1"/>
  <c r="AB95" i="1"/>
  <c r="W93" i="1"/>
  <c r="W96" i="1"/>
  <c r="AK91" i="1"/>
  <c r="CM18" i="6" l="1"/>
  <c r="C8" i="4"/>
  <c r="CM17" i="6"/>
  <c r="CM76" i="1"/>
  <c r="CM77" i="1"/>
  <c r="CM19" i="6"/>
  <c r="B111" i="4"/>
  <c r="GG75" i="1"/>
  <c r="GZ75" i="1" s="1"/>
  <c r="BN82" i="1"/>
  <c r="CQ82" i="1" s="1"/>
  <c r="C25" i="5" s="1"/>
  <c r="CU19" i="6"/>
  <c r="DA19" i="6" s="1"/>
  <c r="EH78" i="1"/>
  <c r="GX75" i="1"/>
  <c r="BJ75" i="1"/>
  <c r="HT75" i="1" s="1"/>
  <c r="HS75" i="1"/>
  <c r="BF75" i="1"/>
  <c r="HR75" i="1" s="1"/>
  <c r="HQ75" i="1"/>
  <c r="BY75" i="1"/>
  <c r="BY82" i="1" s="1"/>
  <c r="M5" i="5"/>
  <c r="M4" i="5"/>
  <c r="CX21" i="6"/>
  <c r="CX79" i="1"/>
  <c r="CU77" i="1"/>
  <c r="F115" i="4"/>
  <c r="CX20" i="6" s="1"/>
  <c r="H18" i="4"/>
  <c r="B20" i="5"/>
  <c r="E20" i="5" s="1"/>
  <c r="CX80" i="1"/>
  <c r="B108" i="4"/>
  <c r="B59" i="4"/>
  <c r="E59" i="4" s="1"/>
  <c r="D59" i="4" s="1"/>
  <c r="D108" i="4" s="1"/>
  <c r="DA78" i="1"/>
  <c r="EK78" i="1" s="1"/>
  <c r="EE78" i="1"/>
  <c r="EN79" i="1"/>
  <c r="CU80" i="1"/>
  <c r="DD80" i="1" s="1"/>
  <c r="EN80" i="1" s="1"/>
  <c r="CU22" i="6"/>
  <c r="DA21" i="6"/>
  <c r="DD21" i="6"/>
  <c r="DD20" i="6"/>
  <c r="DA20" i="6"/>
  <c r="DA79" i="1"/>
  <c r="EB79" i="1" s="1"/>
  <c r="B101" i="4"/>
  <c r="B52" i="4"/>
  <c r="E52" i="4" s="1"/>
  <c r="D52" i="4" s="1"/>
  <c r="D101" i="4" s="1"/>
  <c r="E18" i="4"/>
  <c r="F18" i="4"/>
  <c r="G18" i="4"/>
  <c r="D18" i="4" s="1"/>
  <c r="C18" i="4" s="1"/>
  <c r="B53" i="4" l="1"/>
  <c r="E53" i="4" s="1"/>
  <c r="D53" i="4" s="1"/>
  <c r="D102" i="4" s="1"/>
  <c r="DA77" i="1"/>
  <c r="EB77" i="1" s="1"/>
  <c r="DG77" i="1"/>
  <c r="B54" i="4"/>
  <c r="E54" i="4" s="1"/>
  <c r="D54" i="4" s="1"/>
  <c r="D103" i="4" s="1"/>
  <c r="B62" i="4"/>
  <c r="E62" i="4" s="1"/>
  <c r="D62" i="4" s="1"/>
  <c r="D111" i="4" s="1"/>
  <c r="F111" i="4" s="1"/>
  <c r="DD19" i="6"/>
  <c r="EN19" i="6" s="1"/>
  <c r="GF75" i="1"/>
  <c r="GY75" i="1" s="1"/>
  <c r="Q4" i="5"/>
  <c r="S4" i="5" s="1"/>
  <c r="Q5" i="5"/>
  <c r="S5" i="5" s="1"/>
  <c r="BS75" i="1"/>
  <c r="BP75" i="1"/>
  <c r="HU75" i="1" s="1"/>
  <c r="DY75" i="1"/>
  <c r="DY82" i="1" s="1"/>
  <c r="DP75" i="1"/>
  <c r="DP82" i="1" s="1"/>
  <c r="B63" i="4"/>
  <c r="E63" i="4" s="1"/>
  <c r="D63" i="4" s="1"/>
  <c r="D112" i="4" s="1"/>
  <c r="B18" i="5"/>
  <c r="E18" i="5" s="1"/>
  <c r="DD77" i="1"/>
  <c r="EE77" i="1" s="1"/>
  <c r="CX78" i="1"/>
  <c r="F108" i="4"/>
  <c r="B118" i="4"/>
  <c r="B69" i="4"/>
  <c r="E69" i="4" s="1"/>
  <c r="D69" i="4" s="1"/>
  <c r="D118" i="4" s="1"/>
  <c r="EB78" i="1"/>
  <c r="EE80" i="1"/>
  <c r="DA80" i="1"/>
  <c r="EK80" i="1" s="1"/>
  <c r="EK19" i="6"/>
  <c r="EB19" i="6"/>
  <c r="EK20" i="6"/>
  <c r="EB20" i="6"/>
  <c r="EN20" i="6"/>
  <c r="EE20" i="6"/>
  <c r="DD22" i="6"/>
  <c r="DA22" i="6"/>
  <c r="EK79" i="1"/>
  <c r="EE21" i="6"/>
  <c r="EN21" i="6"/>
  <c r="EK21" i="6"/>
  <c r="EB21" i="6"/>
  <c r="B102" i="4"/>
  <c r="F102" i="4" s="1"/>
  <c r="F101" i="4"/>
  <c r="B103" i="4" l="1"/>
  <c r="F103" i="4" s="1"/>
  <c r="CU76" i="1" s="1"/>
  <c r="EK77" i="1"/>
  <c r="B64" i="4"/>
  <c r="E64" i="4" s="1"/>
  <c r="D64" i="4" s="1"/>
  <c r="D113" i="4" s="1"/>
  <c r="B113" i="4"/>
  <c r="B114" i="4"/>
  <c r="B65" i="4"/>
  <c r="E65" i="4" s="1"/>
  <c r="D65" i="4" s="1"/>
  <c r="D114" i="4" s="1"/>
  <c r="EQ77" i="1"/>
  <c r="EH77" i="1"/>
  <c r="EE19" i="6"/>
  <c r="CU23" i="6"/>
  <c r="DD23" i="6" s="1"/>
  <c r="B3" i="5"/>
  <c r="B11" i="5" s="1"/>
  <c r="BS82" i="1"/>
  <c r="HS74" i="1" s="1"/>
  <c r="HV75" i="1"/>
  <c r="BV75" i="1"/>
  <c r="BP82" i="1"/>
  <c r="HS73" i="1" s="1"/>
  <c r="EN77" i="1"/>
  <c r="F118" i="4"/>
  <c r="CX23" i="6" s="1"/>
  <c r="CU81" i="1"/>
  <c r="DA81" i="1" s="1"/>
  <c r="EB80" i="1"/>
  <c r="BM67" i="1"/>
  <c r="BM9" i="6"/>
  <c r="EB22" i="6"/>
  <c r="EK22" i="6"/>
  <c r="CU75" i="1"/>
  <c r="DA75" i="1" s="1"/>
  <c r="CU17" i="6"/>
  <c r="EE22" i="6"/>
  <c r="EN22" i="6"/>
  <c r="B112" i="4"/>
  <c r="F112" i="4" s="1"/>
  <c r="CX17" i="6" s="1"/>
  <c r="E3" i="5" l="1"/>
  <c r="E11" i="5" s="1"/>
  <c r="CU18" i="6"/>
  <c r="DA18" i="6" s="1"/>
  <c r="F113" i="4"/>
  <c r="F114" i="4"/>
  <c r="DA76" i="1"/>
  <c r="DA82" i="1" s="1"/>
  <c r="DD76" i="1"/>
  <c r="DG76" i="1"/>
  <c r="DA23" i="6"/>
  <c r="EK23" i="6" s="1"/>
  <c r="BV82" i="1"/>
  <c r="DG75" i="1"/>
  <c r="EQ75" i="1" s="1"/>
  <c r="CX81" i="1"/>
  <c r="B21" i="5"/>
  <c r="E21" i="5" s="1"/>
  <c r="DD81" i="1"/>
  <c r="EN81" i="1" s="1"/>
  <c r="EN23" i="6"/>
  <c r="EE23" i="6"/>
  <c r="EB81" i="1"/>
  <c r="EK81" i="1"/>
  <c r="DD75" i="1"/>
  <c r="DD17" i="6"/>
  <c r="DA17" i="6"/>
  <c r="EK75" i="1"/>
  <c r="EB75" i="1"/>
  <c r="CX75" i="1"/>
  <c r="B15" i="5"/>
  <c r="E15" i="5" s="1"/>
  <c r="DD18" i="6" l="1"/>
  <c r="CX18" i="6"/>
  <c r="B16" i="5"/>
  <c r="E16" i="5" s="1"/>
  <c r="CX76" i="1"/>
  <c r="EH76" i="1"/>
  <c r="EQ76" i="1"/>
  <c r="EQ82" i="1" s="1"/>
  <c r="EN76" i="1"/>
  <c r="EE76" i="1"/>
  <c r="EK76" i="1"/>
  <c r="EK82" i="1" s="1"/>
  <c r="EB76" i="1"/>
  <c r="EB82" i="1" s="1"/>
  <c r="EB83" i="1" s="1"/>
  <c r="EN18" i="6"/>
  <c r="EE18" i="6"/>
  <c r="EB18" i="6"/>
  <c r="EK18" i="6"/>
  <c r="CX19" i="6"/>
  <c r="CX77" i="1"/>
  <c r="B17" i="5"/>
  <c r="E17" i="5" s="1"/>
  <c r="E25" i="5" s="1"/>
  <c r="S7" i="5" s="1"/>
  <c r="EB23" i="6"/>
  <c r="EH75" i="1"/>
  <c r="DG82" i="1"/>
  <c r="EE81" i="1"/>
  <c r="DD82" i="1"/>
  <c r="EE75" i="1"/>
  <c r="EN75" i="1"/>
  <c r="EK17" i="6"/>
  <c r="DA24" i="6"/>
  <c r="EB17" i="6"/>
  <c r="DD24" i="6"/>
  <c r="EE17" i="6"/>
  <c r="EN17" i="6"/>
  <c r="EE24" i="6" l="1"/>
  <c r="EE25" i="6" s="1"/>
  <c r="EH82" i="1"/>
  <c r="EH83" i="1" s="1"/>
  <c r="B25" i="5"/>
  <c r="EB24" i="6"/>
  <c r="EB25" i="6" s="1"/>
  <c r="EN82" i="1"/>
  <c r="EE82" i="1"/>
  <c r="EE83" i="1" s="1"/>
  <c r="EN24" i="6"/>
  <c r="EK24" i="6"/>
  <c r="U5" i="5"/>
  <c r="V4" i="5"/>
  <c r="U3" i="5"/>
  <c r="U4" i="5"/>
  <c r="V3" i="5"/>
  <c r="V5" i="5"/>
  <c r="V6" i="5" l="1"/>
  <c r="U7" i="5"/>
  <c r="U6" i="5"/>
  <c r="CA72" i="1" l="1"/>
  <c r="CA14" i="6"/>
  <c r="T3" i="5"/>
  <c r="T4" i="5"/>
  <c r="T5" i="5"/>
  <c r="EW75" i="1" l="1"/>
  <c r="HN75" i="1" s="1"/>
  <c r="EW81" i="1"/>
  <c r="FO81" i="1" s="1"/>
  <c r="FX81" i="1" s="1"/>
  <c r="EW80" i="1"/>
  <c r="FO80" i="1" s="1"/>
  <c r="FX80" i="1" s="1"/>
  <c r="EW79" i="1"/>
  <c r="FO79" i="1" s="1"/>
  <c r="FX79" i="1" s="1"/>
  <c r="EW77" i="1"/>
  <c r="EW78" i="1"/>
  <c r="EW76" i="1"/>
  <c r="HN76" i="1" s="1"/>
  <c r="ET81" i="1"/>
  <c r="FL81" i="1" s="1"/>
  <c r="FU81" i="1" s="1"/>
  <c r="ET80" i="1"/>
  <c r="FL80" i="1" s="1"/>
  <c r="FU80" i="1" s="1"/>
  <c r="ET79" i="1"/>
  <c r="FL79" i="1" s="1"/>
  <c r="FU79" i="1" s="1"/>
  <c r="ET76" i="1"/>
  <c r="GU76" i="1" s="1"/>
  <c r="ET78" i="1"/>
  <c r="ET77" i="1"/>
  <c r="EZ81" i="1"/>
  <c r="FR81" i="1" s="1"/>
  <c r="ET75" i="1"/>
  <c r="GU75" i="1" s="1"/>
  <c r="FI76" i="1"/>
  <c r="FF79" i="1"/>
  <c r="EZ76" i="1"/>
  <c r="IJ76" i="1" s="1"/>
  <c r="EZ80" i="1"/>
  <c r="FI80" i="1"/>
  <c r="FC79" i="1"/>
  <c r="FF75" i="1"/>
  <c r="FC80" i="1"/>
  <c r="EZ79" i="1"/>
  <c r="FI78" i="1"/>
  <c r="FF78" i="1"/>
  <c r="FC77" i="1"/>
  <c r="FC78" i="1"/>
  <c r="FC81" i="1"/>
  <c r="FI81" i="1"/>
  <c r="FF76" i="1"/>
  <c r="EZ75" i="1"/>
  <c r="IJ75" i="1" s="1"/>
  <c r="EZ77" i="1"/>
  <c r="IJ77" i="1" s="1"/>
  <c r="FF81" i="1"/>
  <c r="FI77" i="1"/>
  <c r="FC75" i="1"/>
  <c r="FF80" i="1"/>
  <c r="EZ78" i="1"/>
  <c r="FF77" i="1"/>
  <c r="FI75" i="1"/>
  <c r="FI79" i="1"/>
  <c r="FC76" i="1"/>
  <c r="FF21" i="6"/>
  <c r="FC21" i="6"/>
  <c r="FI20" i="6"/>
  <c r="FC22" i="6"/>
  <c r="FC18" i="6"/>
  <c r="FF20" i="6"/>
  <c r="FI23" i="6"/>
  <c r="FC20" i="6"/>
  <c r="FI19" i="6"/>
  <c r="FF23" i="6"/>
  <c r="FF19" i="6"/>
  <c r="FI21" i="6"/>
  <c r="FC23" i="6"/>
  <c r="FI22" i="6"/>
  <c r="FC19" i="6"/>
  <c r="FI18" i="6"/>
  <c r="FF22" i="6"/>
  <c r="FF18" i="6"/>
  <c r="ET21" i="6"/>
  <c r="FL21" i="6" s="1"/>
  <c r="FU21" i="6" s="1"/>
  <c r="EZ22" i="6"/>
  <c r="EZ20" i="6"/>
  <c r="EZ19" i="6"/>
  <c r="ET23" i="6"/>
  <c r="FL23" i="6" s="1"/>
  <c r="FU23" i="6" s="1"/>
  <c r="FF17" i="6"/>
  <c r="EW23" i="6"/>
  <c r="FO23" i="6" s="1"/>
  <c r="FX23" i="6" s="1"/>
  <c r="EW20" i="6"/>
  <c r="FO20" i="6" s="1"/>
  <c r="FX20" i="6" s="1"/>
  <c r="ET19" i="6"/>
  <c r="FL19" i="6" s="1"/>
  <c r="FU19" i="6" s="1"/>
  <c r="EW22" i="6"/>
  <c r="FO22" i="6" s="1"/>
  <c r="FX22" i="6" s="1"/>
  <c r="ET20" i="6"/>
  <c r="FL20" i="6" s="1"/>
  <c r="FU20" i="6" s="1"/>
  <c r="FC17" i="6"/>
  <c r="EW19" i="6"/>
  <c r="FO19" i="6" s="1"/>
  <c r="FX19" i="6" s="1"/>
  <c r="ET22" i="6"/>
  <c r="FL22" i="6" s="1"/>
  <c r="FU22" i="6" s="1"/>
  <c r="EZ23" i="6"/>
  <c r="EZ21" i="6"/>
  <c r="EW21" i="6"/>
  <c r="FO21" i="6" s="1"/>
  <c r="FX21" i="6" s="1"/>
  <c r="EZ18" i="6"/>
  <c r="EW17" i="6"/>
  <c r="ET17" i="6"/>
  <c r="EZ17" i="6"/>
  <c r="EW18" i="6"/>
  <c r="ET18" i="6"/>
  <c r="FI17" i="6"/>
  <c r="GU77" i="1" l="1"/>
  <c r="GA81" i="1"/>
  <c r="FO78" i="1"/>
  <c r="FX78" i="1" s="1"/>
  <c r="HN78" i="1"/>
  <c r="FL78" i="1"/>
  <c r="FU78" i="1" s="1"/>
  <c r="GU78" i="1"/>
  <c r="GI74" i="1"/>
  <c r="GH74" i="1"/>
  <c r="HW74" i="1"/>
  <c r="HX74" i="1"/>
  <c r="HB74" i="1"/>
  <c r="HA74" i="1"/>
  <c r="IA74" i="1"/>
  <c r="HY74" i="1"/>
  <c r="HZ74" i="1"/>
  <c r="IB74" i="1"/>
  <c r="IC74" i="1"/>
  <c r="IE74" i="1"/>
  <c r="ID74" i="1"/>
  <c r="IF74" i="1"/>
  <c r="IH74" i="1"/>
  <c r="IG74" i="1"/>
  <c r="FO76" i="1"/>
  <c r="FX76" i="1" s="1"/>
  <c r="FO77" i="1"/>
  <c r="FX77" i="1" s="1"/>
  <c r="HN77" i="1"/>
  <c r="HC74" i="1"/>
  <c r="HI74" i="1"/>
  <c r="HK74" i="1"/>
  <c r="HL74" i="1"/>
  <c r="HH74" i="1"/>
  <c r="HE74" i="1"/>
  <c r="HF74" i="1"/>
  <c r="HG74" i="1"/>
  <c r="HJ74" i="1"/>
  <c r="HD74" i="1"/>
  <c r="GO74" i="1"/>
  <c r="GK74" i="1"/>
  <c r="GJ74" i="1"/>
  <c r="GS74" i="1"/>
  <c r="GP74" i="1"/>
  <c r="GM74" i="1"/>
  <c r="GR74" i="1"/>
  <c r="GN74" i="1"/>
  <c r="GQ74" i="1"/>
  <c r="GL74" i="1"/>
  <c r="FL77" i="1"/>
  <c r="FU77" i="1" s="1"/>
  <c r="GA76" i="1"/>
  <c r="GA80" i="1"/>
  <c r="GA79" i="1"/>
  <c r="GA77" i="1"/>
  <c r="GA78" i="1"/>
  <c r="FL76" i="1"/>
  <c r="FU76" i="1" s="1"/>
  <c r="FR80" i="1"/>
  <c r="FR76" i="1"/>
  <c r="FR79" i="1"/>
  <c r="FR77" i="1"/>
  <c r="FR75" i="1"/>
  <c r="FL75" i="1"/>
  <c r="FU75" i="1" s="1"/>
  <c r="FF82" i="1"/>
  <c r="FO75" i="1"/>
  <c r="FX75" i="1" s="1"/>
  <c r="FR78" i="1"/>
  <c r="FI82" i="1"/>
  <c r="EZ82" i="1"/>
  <c r="FC82" i="1"/>
  <c r="EW82" i="1"/>
  <c r="ET82" i="1"/>
  <c r="FI24" i="6"/>
  <c r="FO18" i="6"/>
  <c r="FX18" i="6" s="1"/>
  <c r="FF24" i="6"/>
  <c r="EZ24" i="6"/>
  <c r="GA17" i="6"/>
  <c r="FR17" i="6"/>
  <c r="ET24" i="6"/>
  <c r="FL17" i="6"/>
  <c r="FC24" i="6"/>
  <c r="GA19" i="6"/>
  <c r="FR19" i="6"/>
  <c r="EW24" i="6"/>
  <c r="FO17" i="6"/>
  <c r="GA20" i="6"/>
  <c r="FR20" i="6"/>
  <c r="FR18" i="6"/>
  <c r="GA18" i="6"/>
  <c r="FR22" i="6"/>
  <c r="GA22" i="6"/>
  <c r="GA21" i="6"/>
  <c r="FR21" i="6"/>
  <c r="FL18" i="6"/>
  <c r="FU18" i="6" s="1"/>
  <c r="FR23" i="6"/>
  <c r="GA23" i="6"/>
  <c r="HF77" i="1" l="1"/>
  <c r="HF76" i="1"/>
  <c r="HE77" i="1"/>
  <c r="HE76" i="1"/>
  <c r="HH76" i="1"/>
  <c r="HH77" i="1"/>
  <c r="HG77" i="1"/>
  <c r="HG76" i="1"/>
  <c r="HL77" i="1"/>
  <c r="HL76" i="1"/>
  <c r="HK76" i="1"/>
  <c r="HK77" i="1"/>
  <c r="HA75" i="1"/>
  <c r="HA76" i="1"/>
  <c r="HA77" i="1"/>
  <c r="HD77" i="1"/>
  <c r="HD76" i="1"/>
  <c r="HI77" i="1"/>
  <c r="HI76" i="1"/>
  <c r="HB77" i="1"/>
  <c r="HB76" i="1"/>
  <c r="HJ76" i="1"/>
  <c r="HJ77" i="1"/>
  <c r="HC76" i="1"/>
  <c r="HC77" i="1"/>
  <c r="HE75" i="1"/>
  <c r="HH75" i="1"/>
  <c r="HG75" i="1"/>
  <c r="HL75" i="1"/>
  <c r="HK75" i="1"/>
  <c r="HD75" i="1"/>
  <c r="HI75" i="1"/>
  <c r="HB75" i="1"/>
  <c r="HF75" i="1"/>
  <c r="HJ75" i="1"/>
  <c r="HC75" i="1"/>
  <c r="HM78" i="1"/>
  <c r="HO78" i="1" s="1"/>
  <c r="GP77" i="1"/>
  <c r="GP76" i="1"/>
  <c r="GP75" i="1"/>
  <c r="GH77" i="1"/>
  <c r="GH76" i="1"/>
  <c r="GH75" i="1"/>
  <c r="GS77" i="1"/>
  <c r="GS76" i="1"/>
  <c r="GS75" i="1"/>
  <c r="GI77" i="1"/>
  <c r="GI76" i="1"/>
  <c r="GI75" i="1"/>
  <c r="GM77" i="1"/>
  <c r="GM76" i="1"/>
  <c r="GM75" i="1"/>
  <c r="GJ77" i="1"/>
  <c r="GJ76" i="1"/>
  <c r="GJ75" i="1"/>
  <c r="GL77" i="1"/>
  <c r="GL76" i="1"/>
  <c r="GL75" i="1"/>
  <c r="GK77" i="1"/>
  <c r="GK76" i="1"/>
  <c r="GK75" i="1"/>
  <c r="GQ77" i="1"/>
  <c r="GQ76" i="1"/>
  <c r="GQ75" i="1"/>
  <c r="GO77" i="1"/>
  <c r="GO76" i="1"/>
  <c r="GO75" i="1"/>
  <c r="GN77" i="1"/>
  <c r="GN76" i="1"/>
  <c r="GN75" i="1"/>
  <c r="GR77" i="1"/>
  <c r="GR76" i="1"/>
  <c r="GR75" i="1"/>
  <c r="GT78" i="1"/>
  <c r="GV78" i="1" s="1"/>
  <c r="IE75" i="1"/>
  <c r="IE76" i="1"/>
  <c r="IE77" i="1"/>
  <c r="IE78" i="1"/>
  <c r="IE79" i="1"/>
  <c r="IE80" i="1"/>
  <c r="IE81" i="1"/>
  <c r="HX75" i="1"/>
  <c r="HX76" i="1"/>
  <c r="HX77" i="1"/>
  <c r="HX78" i="1"/>
  <c r="HX79" i="1"/>
  <c r="HX80" i="1"/>
  <c r="HX81" i="1"/>
  <c r="IC75" i="1"/>
  <c r="IC78" i="1"/>
  <c r="IC79" i="1"/>
  <c r="IC80" i="1"/>
  <c r="IC81" i="1"/>
  <c r="IC76" i="1"/>
  <c r="IC77" i="1"/>
  <c r="IB75" i="1"/>
  <c r="IB76" i="1"/>
  <c r="IB81" i="1"/>
  <c r="IB77" i="1"/>
  <c r="IB78" i="1"/>
  <c r="IB80" i="1"/>
  <c r="IB79" i="1"/>
  <c r="HZ75" i="1"/>
  <c r="HZ78" i="1"/>
  <c r="HZ76" i="1"/>
  <c r="HZ77" i="1"/>
  <c r="HZ80" i="1"/>
  <c r="HZ81" i="1"/>
  <c r="HZ79" i="1"/>
  <c r="HW75" i="1"/>
  <c r="HW76" i="1"/>
  <c r="HW77" i="1"/>
  <c r="HW80" i="1"/>
  <c r="HW78" i="1"/>
  <c r="HW79" i="1"/>
  <c r="HW81" i="1"/>
  <c r="IG75" i="1"/>
  <c r="IG78" i="1"/>
  <c r="IG79" i="1"/>
  <c r="IG80" i="1"/>
  <c r="IG76" i="1"/>
  <c r="IG81" i="1"/>
  <c r="IG77" i="1"/>
  <c r="HY75" i="1"/>
  <c r="HY78" i="1"/>
  <c r="HY77" i="1"/>
  <c r="HY79" i="1"/>
  <c r="HY80" i="1"/>
  <c r="HY81" i="1"/>
  <c r="HY76" i="1"/>
  <c r="IH75" i="1"/>
  <c r="IH78" i="1"/>
  <c r="IH77" i="1"/>
  <c r="IH79" i="1"/>
  <c r="IH81" i="1"/>
  <c r="IH80" i="1"/>
  <c r="IH76" i="1"/>
  <c r="IA75" i="1"/>
  <c r="IA81" i="1"/>
  <c r="IA77" i="1"/>
  <c r="IA78" i="1"/>
  <c r="IA79" i="1"/>
  <c r="IA80" i="1"/>
  <c r="IA76" i="1"/>
  <c r="IF75" i="1"/>
  <c r="IF80" i="1"/>
  <c r="IF81" i="1"/>
  <c r="IF76" i="1"/>
  <c r="IF77" i="1"/>
  <c r="IF78" i="1"/>
  <c r="IF79" i="1"/>
  <c r="ID75" i="1"/>
  <c r="ID77" i="1"/>
  <c r="ID81" i="1"/>
  <c r="ID76" i="1"/>
  <c r="ID78" i="1"/>
  <c r="ID79" i="1"/>
  <c r="ID80" i="1"/>
  <c r="GA75" i="1"/>
  <c r="GA82" i="1" s="1"/>
  <c r="FR82" i="1"/>
  <c r="FR83" i="1" s="1"/>
  <c r="FR85" i="1" s="1"/>
  <c r="AH95" i="1" s="1"/>
  <c r="FX82" i="1"/>
  <c r="FO82" i="1"/>
  <c r="FO83" i="1" s="1"/>
  <c r="FO85" i="1" s="1"/>
  <c r="AH93" i="1" s="1"/>
  <c r="FU82" i="1"/>
  <c r="FL82" i="1"/>
  <c r="FL83" i="1" s="1"/>
  <c r="FL85" i="1" s="1"/>
  <c r="AH91" i="1" s="1"/>
  <c r="II74" i="1"/>
  <c r="HM74" i="1"/>
  <c r="GT74" i="1"/>
  <c r="GV74" i="1" s="1"/>
  <c r="FL24" i="6"/>
  <c r="FL25" i="6" s="1"/>
  <c r="FU17" i="6"/>
  <c r="FU24" i="6" s="1"/>
  <c r="FU25" i="6" s="1"/>
  <c r="GA24" i="6"/>
  <c r="GA25" i="6" s="1"/>
  <c r="FR24" i="6"/>
  <c r="FR25" i="6" s="1"/>
  <c r="FO24" i="6"/>
  <c r="FO25" i="6" s="1"/>
  <c r="FX17" i="6"/>
  <c r="FX24" i="6" s="1"/>
  <c r="FX25" i="6" s="1"/>
  <c r="HO74" i="1" l="1"/>
  <c r="CC72" i="1"/>
  <c r="N93" i="1" s="1"/>
  <c r="I104" i="1" s="1"/>
  <c r="AE95" i="1"/>
  <c r="AE93" i="1"/>
  <c r="AE91" i="1"/>
  <c r="HA82" i="1"/>
  <c r="HW82" i="1"/>
  <c r="GH82" i="1"/>
  <c r="HB82" i="1"/>
  <c r="IK74" i="1"/>
  <c r="GI82" i="1"/>
  <c r="IC82" i="1"/>
  <c r="IB82" i="1"/>
  <c r="IA82" i="1"/>
  <c r="HZ82" i="1"/>
  <c r="IE82" i="1"/>
  <c r="IH82" i="1"/>
  <c r="ID82" i="1"/>
  <c r="HL82" i="1"/>
  <c r="IG82" i="1"/>
  <c r="IF82" i="1"/>
  <c r="HY82" i="1"/>
  <c r="HF82" i="1"/>
  <c r="HI82" i="1"/>
  <c r="HH82" i="1"/>
  <c r="HM76" i="1"/>
  <c r="HO76" i="1" s="1"/>
  <c r="HE82" i="1"/>
  <c r="HK82" i="1"/>
  <c r="HM77" i="1"/>
  <c r="HO77" i="1" s="1"/>
  <c r="HD82" i="1"/>
  <c r="HG82" i="1"/>
  <c r="HJ82" i="1"/>
  <c r="HC82" i="1"/>
  <c r="HC85" i="1" s="1"/>
  <c r="HM75" i="1"/>
  <c r="HO75" i="1" s="1"/>
  <c r="GN82" i="1"/>
  <c r="GJ82" i="1"/>
  <c r="GJ85" i="1" s="1"/>
  <c r="GL82" i="1"/>
  <c r="GR82" i="1"/>
  <c r="GK82" i="1"/>
  <c r="GS82" i="1"/>
  <c r="GO82" i="1"/>
  <c r="GM82" i="1"/>
  <c r="GQ82" i="1"/>
  <c r="GP82" i="1"/>
  <c r="GT76" i="1"/>
  <c r="GV76" i="1" s="1"/>
  <c r="GT77" i="1"/>
  <c r="GV77" i="1" s="1"/>
  <c r="GT75" i="1"/>
  <c r="GV75" i="1" s="1"/>
  <c r="GV70" i="1" s="1"/>
  <c r="CF14" i="6"/>
  <c r="CC14" i="6"/>
  <c r="HO70" i="1" l="1"/>
  <c r="IH84" i="1"/>
  <c r="IH85" i="1"/>
  <c r="IG84" i="1"/>
  <c r="IG85" i="1"/>
  <c r="IC84" i="1"/>
  <c r="IC85" i="1"/>
  <c r="IF84" i="1"/>
  <c r="IF85" i="1"/>
  <c r="IB84" i="1"/>
  <c r="IB85" i="1"/>
  <c r="ID84" i="1"/>
  <c r="ID85" i="1"/>
  <c r="IE84" i="1"/>
  <c r="IE85" i="1"/>
  <c r="HZ84" i="1"/>
  <c r="HZ85" i="1"/>
  <c r="HW84" i="1"/>
  <c r="HW85" i="1"/>
  <c r="HY84" i="1"/>
  <c r="HY85" i="1"/>
  <c r="IA84" i="1"/>
  <c r="IA85" i="1"/>
  <c r="HK84" i="1"/>
  <c r="HK85" i="1"/>
  <c r="HE84" i="1"/>
  <c r="HE85" i="1"/>
  <c r="HL84" i="1"/>
  <c r="HL85" i="1"/>
  <c r="HH84" i="1"/>
  <c r="HH85" i="1"/>
  <c r="HB84" i="1"/>
  <c r="HB85" i="1"/>
  <c r="HJ84" i="1"/>
  <c r="HJ85" i="1"/>
  <c r="HI84" i="1"/>
  <c r="HI85" i="1"/>
  <c r="HG84" i="1"/>
  <c r="HG85" i="1"/>
  <c r="HF84" i="1"/>
  <c r="HF85" i="1"/>
  <c r="HD84" i="1"/>
  <c r="HD85" i="1"/>
  <c r="HA84" i="1"/>
  <c r="HA85" i="1"/>
  <c r="GR84" i="1"/>
  <c r="GR85" i="1"/>
  <c r="GQ84" i="1"/>
  <c r="GQ85" i="1"/>
  <c r="GI84" i="1"/>
  <c r="GI85" i="1"/>
  <c r="GN84" i="1"/>
  <c r="GN85" i="1"/>
  <c r="GM84" i="1"/>
  <c r="GM85" i="1"/>
  <c r="GO84" i="1"/>
  <c r="GO85" i="1"/>
  <c r="GL84" i="1"/>
  <c r="GL85" i="1"/>
  <c r="GS84" i="1"/>
  <c r="GS85" i="1"/>
  <c r="GP84" i="1"/>
  <c r="GP85" i="1"/>
  <c r="GK84" i="1"/>
  <c r="GK85" i="1"/>
  <c r="GH84" i="1"/>
  <c r="GH85" i="1"/>
  <c r="GJ84" i="1"/>
  <c r="GT82" i="1"/>
  <c r="HC84" i="1"/>
  <c r="HM82" i="1"/>
  <c r="N97" i="1"/>
  <c r="II75" i="1"/>
  <c r="IK75" i="1" s="1"/>
  <c r="II81" i="1" s="1"/>
  <c r="IK81" i="1" s="1"/>
  <c r="GT85" i="1" l="1"/>
  <c r="FU83" i="1" s="1"/>
  <c r="HM85" i="1"/>
  <c r="FX83" i="1" s="1"/>
  <c r="IK70" i="1"/>
  <c r="HM84" i="1"/>
  <c r="GT84" i="1"/>
  <c r="II80" i="1"/>
  <c r="IK80" i="1" s="1"/>
  <c r="II78" i="1"/>
  <c r="IK78" i="1" s="1"/>
  <c r="II77" i="1"/>
  <c r="IK77" i="1" s="1"/>
  <c r="II79" i="1"/>
  <c r="IK79" i="1" s="1"/>
  <c r="FX84" i="1" l="1"/>
  <c r="FX85" i="1" s="1"/>
  <c r="FU84" i="1"/>
  <c r="FU85" i="1" s="1"/>
  <c r="HX82" i="1"/>
  <c r="HX85" i="1" s="1"/>
  <c r="II85" i="1" s="1"/>
  <c r="GA83" i="1" s="1"/>
  <c r="II76" i="1"/>
  <c r="IK76" i="1" s="1"/>
  <c r="HX84" i="1" l="1"/>
  <c r="II84" i="1" s="1"/>
  <c r="II82" i="1"/>
  <c r="GA84" i="1" l="1"/>
  <c r="GA85" i="1" s="1"/>
  <c r="CF72" i="1" s="1"/>
  <c r="N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柏村　聖歌</author>
    <author>鈴木　潤</author>
  </authors>
  <commentList>
    <comment ref="F2" authorId="0" shapeId="0" xr:uid="{00000000-0006-0000-0400-000001000000}">
      <text>
        <r>
          <rPr>
            <b/>
            <sz val="9"/>
            <color indexed="81"/>
            <rFont val="MS P ゴシック"/>
            <family val="3"/>
            <charset val="128"/>
          </rPr>
          <t>給与収入55万超（専給以外）、公的年金あり（65歳未満60万超、65歳以上125万超のみ）の場合、1フラグを立ててください。</t>
        </r>
      </text>
    </comment>
    <comment ref="A8" authorId="1" shapeId="0" xr:uid="{00000000-0006-0000-0400-000002000000}">
      <text>
        <r>
          <rPr>
            <b/>
            <sz val="9"/>
            <color indexed="81"/>
            <rFont val="ＭＳ Ｐゴシック"/>
            <family val="3"/>
            <charset val="128"/>
          </rPr>
          <t>譲渡所得がある場合は、特別控除後の所得が上段「２」、「８」、「９」欄に計上されるため、特別控除額を入力してください。（加算）</t>
        </r>
      </text>
    </comment>
    <comment ref="A9" authorId="1" shapeId="0" xr:uid="{00000000-0006-0000-0400-000003000000}">
      <text>
        <r>
          <rPr>
            <b/>
            <sz val="9"/>
            <color indexed="81"/>
            <rFont val="ＭＳ Ｐゴシック"/>
            <family val="3"/>
            <charset val="128"/>
          </rPr>
          <t>上記「２」、「８」、「９」のうち事業主（N）がいる場合、軽減判定上、専従者給与収入を事業主の所得へ割り戻すため、専従者給与収入額を入力してください。（加算）</t>
        </r>
      </text>
    </comment>
    <comment ref="A10" authorId="1" shapeId="0" xr:uid="{00000000-0006-0000-0400-000004000000}">
      <text>
        <r>
          <rPr>
            <b/>
            <sz val="9"/>
            <color indexed="81"/>
            <rFont val="ＭＳ Ｐゴシック"/>
            <family val="3"/>
            <charset val="128"/>
          </rPr>
          <t>上記「２」、「８」、「９」ののうち、専従者（S）がいる場合、軽減判定上、専従者給与収入は事業主所得へ割り戻すため、上段１～７に計上された専従者給与所得額を入力してください。（減算）</t>
        </r>
      </text>
    </comment>
    <comment ref="A22" authorId="1" shapeId="0" xr:uid="{00000000-0006-0000-0400-000005000000}">
      <text>
        <r>
          <rPr>
            <b/>
            <sz val="9"/>
            <color indexed="81"/>
            <rFont val="ＭＳ Ｐゴシック"/>
            <family val="3"/>
            <charset val="128"/>
          </rPr>
          <t>譲渡所得がある場合は、特別控除後の所得が上段１～7に計上されるため、特別控除額を入力してください。（加算）</t>
        </r>
      </text>
    </comment>
    <comment ref="A23" authorId="1" shapeId="0" xr:uid="{00000000-0006-0000-0400-000006000000}">
      <text>
        <r>
          <rPr>
            <b/>
            <sz val="9"/>
            <color indexed="81"/>
            <rFont val="ＭＳ Ｐゴシック"/>
            <family val="3"/>
            <charset val="128"/>
          </rPr>
          <t>世帯内に事業主（N）がいる場合、軽減判定上、専従者給与収入を事業主の所得へ割り戻すため、専従者給与収入額を入力してください。（加算）</t>
        </r>
      </text>
    </comment>
    <comment ref="A24" authorId="1" shapeId="0" xr:uid="{00000000-0006-0000-0400-000007000000}">
      <text>
        <r>
          <rPr>
            <b/>
            <sz val="9"/>
            <color indexed="81"/>
            <rFont val="ＭＳ Ｐゴシック"/>
            <family val="3"/>
            <charset val="128"/>
          </rPr>
          <t>世帯内に専従者（S）がいる場合、軽減判定上、専従者給与収入は事業主所得へ割り戻すため、上段１～７に計上された専従者給与所得額を入力してください。（減算）</t>
        </r>
      </text>
    </comment>
  </commentList>
</comments>
</file>

<file path=xl/sharedStrings.xml><?xml version="1.0" encoding="utf-8"?>
<sst xmlns="http://schemas.openxmlformats.org/spreadsheetml/2006/main" count="657" uniqueCount="357">
  <si>
    <t>生年月日</t>
    <rPh sb="0" eb="2">
      <t>セイネン</t>
    </rPh>
    <rPh sb="2" eb="4">
      <t>ガッピ</t>
    </rPh>
    <phoneticPr fontId="2"/>
  </si>
  <si>
    <t>給与収入</t>
    <rPh sb="0" eb="2">
      <t>キュウヨ</t>
    </rPh>
    <rPh sb="2" eb="4">
      <t>シュウニュウ</t>
    </rPh>
    <phoneticPr fontId="2"/>
  </si>
  <si>
    <t>年金収入</t>
    <rPh sb="0" eb="2">
      <t>ネンキン</t>
    </rPh>
    <rPh sb="2" eb="4">
      <t>シュウニュウ</t>
    </rPh>
    <phoneticPr fontId="2"/>
  </si>
  <si>
    <t>その他の所得</t>
    <rPh sb="2" eb="3">
      <t>タ</t>
    </rPh>
    <rPh sb="4" eb="6">
      <t>ショトク</t>
    </rPh>
    <phoneticPr fontId="2"/>
  </si>
  <si>
    <t>国保加入の有無</t>
    <rPh sb="0" eb="2">
      <t>コクホ</t>
    </rPh>
    <rPh sb="2" eb="4">
      <t>カニュウ</t>
    </rPh>
    <rPh sb="5" eb="7">
      <t>ウム</t>
    </rPh>
    <phoneticPr fontId="2"/>
  </si>
  <si>
    <t>世帯主</t>
    <rPh sb="0" eb="3">
      <t>セタイヌシ</t>
    </rPh>
    <phoneticPr fontId="2"/>
  </si>
  <si>
    <t>加入者①</t>
    <rPh sb="0" eb="3">
      <t>カニュウシャ</t>
    </rPh>
    <phoneticPr fontId="2"/>
  </si>
  <si>
    <t>加入者②</t>
    <rPh sb="0" eb="3">
      <t>カニュウシャ</t>
    </rPh>
    <phoneticPr fontId="2"/>
  </si>
  <si>
    <t>加入者③</t>
    <rPh sb="0" eb="3">
      <t>カニュウシャ</t>
    </rPh>
    <phoneticPr fontId="2"/>
  </si>
  <si>
    <t>加入者④</t>
    <rPh sb="0" eb="3">
      <t>カニュウシャ</t>
    </rPh>
    <phoneticPr fontId="2"/>
  </si>
  <si>
    <t>加入者⑤</t>
    <rPh sb="0" eb="3">
      <t>カニュウシャ</t>
    </rPh>
    <phoneticPr fontId="2"/>
  </si>
  <si>
    <t>加入者⑥</t>
    <rPh sb="0" eb="3">
      <t>カニュウシャ</t>
    </rPh>
    <phoneticPr fontId="2"/>
  </si>
  <si>
    <t>月から</t>
    <rPh sb="0" eb="1">
      <t>ガツ</t>
    </rPh>
    <phoneticPr fontId="2"/>
  </si>
  <si>
    <t>元号</t>
    <rPh sb="0" eb="2">
      <t>ゲンゴウ</t>
    </rPh>
    <phoneticPr fontId="2"/>
  </si>
  <si>
    <t>年</t>
    <rPh sb="0" eb="1">
      <t>ネン</t>
    </rPh>
    <phoneticPr fontId="2"/>
  </si>
  <si>
    <t>月</t>
    <rPh sb="0" eb="1">
      <t>ツキ</t>
    </rPh>
    <phoneticPr fontId="2"/>
  </si>
  <si>
    <t>日</t>
    <rPh sb="0" eb="1">
      <t>ヒ</t>
    </rPh>
    <phoneticPr fontId="2"/>
  </si>
  <si>
    <t>昭和</t>
    <rPh sb="0" eb="2">
      <t>ショウワ</t>
    </rPh>
    <phoneticPr fontId="2"/>
  </si>
  <si>
    <t>加入する方</t>
    <rPh sb="0" eb="2">
      <t>カニュウ</t>
    </rPh>
    <rPh sb="4" eb="5">
      <t>カタ</t>
    </rPh>
    <phoneticPr fontId="2"/>
  </si>
  <si>
    <t>加入する</t>
    <rPh sb="0" eb="2">
      <t>カニュウ</t>
    </rPh>
    <phoneticPr fontId="2"/>
  </si>
  <si>
    <t>令和</t>
    <rPh sb="0" eb="2">
      <t>レイワ</t>
    </rPh>
    <phoneticPr fontId="2"/>
  </si>
  <si>
    <t>算定期間</t>
    <rPh sb="0" eb="2">
      <t>サンテイ</t>
    </rPh>
    <rPh sb="2" eb="4">
      <t>キカン</t>
    </rPh>
    <phoneticPr fontId="2"/>
  </si>
  <si>
    <t>軽減割合</t>
    <rPh sb="0" eb="2">
      <t>ケイゲン</t>
    </rPh>
    <rPh sb="2" eb="4">
      <t>ワリアイ</t>
    </rPh>
    <phoneticPr fontId="2"/>
  </si>
  <si>
    <t>該当する</t>
    <rPh sb="0" eb="2">
      <t>ガイトウ</t>
    </rPh>
    <phoneticPr fontId="2"/>
  </si>
  <si>
    <t>課税見込額</t>
    <rPh sb="0" eb="2">
      <t>カゼイ</t>
    </rPh>
    <rPh sb="2" eb="4">
      <t>ミコ</t>
    </rPh>
    <rPh sb="4" eb="5">
      <t>ガク</t>
    </rPh>
    <phoneticPr fontId="2"/>
  </si>
  <si>
    <t>生年月日</t>
    <rPh sb="0" eb="2">
      <t>セイネン</t>
    </rPh>
    <rPh sb="2" eb="4">
      <t>ガッピ</t>
    </rPh>
    <phoneticPr fontId="2"/>
  </si>
  <si>
    <t>給与</t>
    <rPh sb="0" eb="2">
      <t>キュウヨ</t>
    </rPh>
    <phoneticPr fontId="2"/>
  </si>
  <si>
    <t>年金</t>
    <rPh sb="0" eb="2">
      <t>ネンキン</t>
    </rPh>
    <phoneticPr fontId="2"/>
  </si>
  <si>
    <t>その他</t>
    <rPh sb="2" eb="3">
      <t>タ</t>
    </rPh>
    <phoneticPr fontId="2"/>
  </si>
  <si>
    <t>加入</t>
    <rPh sb="0" eb="2">
      <t>カニュウ</t>
    </rPh>
    <phoneticPr fontId="2"/>
  </si>
  <si>
    <t>平成</t>
    <rPh sb="0" eb="2">
      <t>ヘイセイ</t>
    </rPh>
    <phoneticPr fontId="2"/>
  </si>
  <si>
    <t>S</t>
    <phoneticPr fontId="2"/>
  </si>
  <si>
    <t>H</t>
    <phoneticPr fontId="2"/>
  </si>
  <si>
    <t>R</t>
    <phoneticPr fontId="2"/>
  </si>
  <si>
    <t>末日</t>
    <rPh sb="0" eb="2">
      <t>マツジツ</t>
    </rPh>
    <phoneticPr fontId="2"/>
  </si>
  <si>
    <t>年</t>
    <phoneticPr fontId="2"/>
  </si>
  <si>
    <t>年齢</t>
    <rPh sb="0" eb="2">
      <t>ネンレイ</t>
    </rPh>
    <phoneticPr fontId="2"/>
  </si>
  <si>
    <t>基礎課税</t>
    <rPh sb="0" eb="2">
      <t>キソ</t>
    </rPh>
    <rPh sb="2" eb="4">
      <t>カゼイ</t>
    </rPh>
    <phoneticPr fontId="9"/>
  </si>
  <si>
    <t>支援金</t>
    <rPh sb="0" eb="3">
      <t>シエンキン</t>
    </rPh>
    <phoneticPr fontId="9"/>
  </si>
  <si>
    <t>介護</t>
    <rPh sb="0" eb="2">
      <t>カイゴ</t>
    </rPh>
    <phoneticPr fontId="9"/>
  </si>
  <si>
    <t>所得割</t>
    <rPh sb="0" eb="2">
      <t>ショトク</t>
    </rPh>
    <rPh sb="2" eb="3">
      <t>ワリ</t>
    </rPh>
    <phoneticPr fontId="9"/>
  </si>
  <si>
    <t>資産割</t>
    <rPh sb="0" eb="2">
      <t>シサン</t>
    </rPh>
    <rPh sb="2" eb="3">
      <t>ワリ</t>
    </rPh>
    <phoneticPr fontId="9"/>
  </si>
  <si>
    <t>均等割</t>
    <rPh sb="0" eb="3">
      <t>キントウワ</t>
    </rPh>
    <phoneticPr fontId="9"/>
  </si>
  <si>
    <t>平等割</t>
    <rPh sb="0" eb="2">
      <t>ビョウドウ</t>
    </rPh>
    <rPh sb="2" eb="3">
      <t>ワリ</t>
    </rPh>
    <phoneticPr fontId="9"/>
  </si>
  <si>
    <t>平等割1/2</t>
    <rPh sb="0" eb="2">
      <t>ビョウドウ</t>
    </rPh>
    <rPh sb="2" eb="3">
      <t>ワリ</t>
    </rPh>
    <phoneticPr fontId="9"/>
  </si>
  <si>
    <t>限度額</t>
    <rPh sb="0" eb="2">
      <t>ゲンド</t>
    </rPh>
    <rPh sb="2" eb="3">
      <t>ガク</t>
    </rPh>
    <phoneticPr fontId="9"/>
  </si>
  <si>
    <t>7割軽減</t>
    <rPh sb="1" eb="2">
      <t>ワリ</t>
    </rPh>
    <rPh sb="2" eb="4">
      <t>ケイゲン</t>
    </rPh>
    <phoneticPr fontId="9"/>
  </si>
  <si>
    <t>5割軽減</t>
    <rPh sb="1" eb="2">
      <t>ワリ</t>
    </rPh>
    <rPh sb="2" eb="4">
      <t>ケイゲン</t>
    </rPh>
    <phoneticPr fontId="9"/>
  </si>
  <si>
    <t>2割軽減</t>
    <rPh sb="1" eb="2">
      <t>ワリ</t>
    </rPh>
    <rPh sb="2" eb="4">
      <t>ケイゲン</t>
    </rPh>
    <phoneticPr fontId="9"/>
  </si>
  <si>
    <t>現年度</t>
    <rPh sb="0" eb="1">
      <t>ゲン</t>
    </rPh>
    <rPh sb="1" eb="3">
      <t>ネンド</t>
    </rPh>
    <phoneticPr fontId="9"/>
  </si>
  <si>
    <t>次年度</t>
    <rPh sb="0" eb="3">
      <t>ジネンド</t>
    </rPh>
    <phoneticPr fontId="9"/>
  </si>
  <si>
    <t>未就学児対象者</t>
    <rPh sb="0" eb="4">
      <t>ミシュウガクジ</t>
    </rPh>
    <rPh sb="4" eb="6">
      <t>タイショウ</t>
    </rPh>
    <rPh sb="6" eb="7">
      <t>シャ</t>
    </rPh>
    <phoneticPr fontId="9"/>
  </si>
  <si>
    <t>・昭和11年1月1日以後に生まれた人</t>
    <phoneticPr fontId="9"/>
  </si>
  <si>
    <t>・昭和11年1月1日以前に生まれた人</t>
    <phoneticPr fontId="9"/>
  </si>
  <si>
    <t>昭和36年～昭和12年生まれ</t>
    <rPh sb="0" eb="2">
      <t>ショウワ</t>
    </rPh>
    <rPh sb="4" eb="5">
      <t>ネン</t>
    </rPh>
    <rPh sb="6" eb="8">
      <t>ショウワ</t>
    </rPh>
    <rPh sb="10" eb="11">
      <t>ネン</t>
    </rPh>
    <rPh sb="11" eb="12">
      <t>ウ</t>
    </rPh>
    <phoneticPr fontId="9"/>
  </si>
  <si>
    <t>・昭和12年1月2日以後に生まれた人</t>
    <phoneticPr fontId="9"/>
  </si>
  <si>
    <t>・昭和12年1月1日以前に生まれた人</t>
    <phoneticPr fontId="9"/>
  </si>
  <si>
    <t>昭和37年～昭和13年生まれ</t>
    <rPh sb="0" eb="2">
      <t>ショウワ</t>
    </rPh>
    <rPh sb="4" eb="5">
      <t>ネン</t>
    </rPh>
    <rPh sb="6" eb="8">
      <t>ショウワ</t>
    </rPh>
    <rPh sb="10" eb="11">
      <t>ネン</t>
    </rPh>
    <rPh sb="11" eb="12">
      <t>ウ</t>
    </rPh>
    <phoneticPr fontId="9"/>
  </si>
  <si>
    <t>この計算は試算になりますので、実際の課税額と異なる場合があります。</t>
    <phoneticPr fontId="9"/>
  </si>
  <si>
    <t>・昭和13年1月2日以後に生まれた人</t>
    <phoneticPr fontId="9"/>
  </si>
  <si>
    <t>・昭和13年1月1日以前に生まれた人</t>
    <phoneticPr fontId="9"/>
  </si>
  <si>
    <t>昭和38年～昭和14年生まれ</t>
    <rPh sb="0" eb="2">
      <t>ショウワ</t>
    </rPh>
    <rPh sb="4" eb="5">
      <t>ネン</t>
    </rPh>
    <rPh sb="6" eb="8">
      <t>ショウワ</t>
    </rPh>
    <rPh sb="10" eb="11">
      <t>ネン</t>
    </rPh>
    <rPh sb="11" eb="12">
      <t>ウ</t>
    </rPh>
    <phoneticPr fontId="9"/>
  </si>
  <si>
    <t>世帯分離は同一住所内でも生計を別々にしている場合に行うものです。世帯分離すると、通常は分離前と比較して国保税額は増加します。ただし、軽減措置等の適用により国保税が減少する場合もありますが、各年の所得金額及び世帯状況等により決定するため、毎年同じ結果になるとは限りません。また、世帯分離により他の行政サービス等へ影響が生じる場合もあるため十分ご注意ください。</t>
    <rPh sb="0" eb="2">
      <t>セタイ</t>
    </rPh>
    <rPh sb="2" eb="4">
      <t>ブンリ</t>
    </rPh>
    <rPh sb="5" eb="7">
      <t>ドウイツ</t>
    </rPh>
    <rPh sb="7" eb="9">
      <t>ジュウショ</t>
    </rPh>
    <rPh sb="9" eb="10">
      <t>ナイ</t>
    </rPh>
    <rPh sb="15" eb="17">
      <t>ベツベツ</t>
    </rPh>
    <rPh sb="22" eb="24">
      <t>バアイ</t>
    </rPh>
    <rPh sb="43" eb="45">
      <t>ブンリ</t>
    </rPh>
    <rPh sb="45" eb="46">
      <t>マエ</t>
    </rPh>
    <rPh sb="47" eb="49">
      <t>ヒカク</t>
    </rPh>
    <rPh sb="51" eb="53">
      <t>コクホ</t>
    </rPh>
    <rPh sb="56" eb="58">
      <t>ゾウカ</t>
    </rPh>
    <rPh sb="77" eb="79">
      <t>コクホ</t>
    </rPh>
    <rPh sb="79" eb="80">
      <t>ゼイ</t>
    </rPh>
    <rPh sb="81" eb="83">
      <t>ゲンショウ</t>
    </rPh>
    <rPh sb="99" eb="101">
      <t>キンガク</t>
    </rPh>
    <rPh sb="105" eb="107">
      <t>ジョウキョウ</t>
    </rPh>
    <rPh sb="107" eb="108">
      <t>トウ</t>
    </rPh>
    <rPh sb="111" eb="113">
      <t>ケッテイ</t>
    </rPh>
    <rPh sb="118" eb="120">
      <t>マイトシ</t>
    </rPh>
    <rPh sb="120" eb="121">
      <t>オナ</t>
    </rPh>
    <rPh sb="122" eb="124">
      <t>ケッカ</t>
    </rPh>
    <rPh sb="129" eb="130">
      <t>カギ</t>
    </rPh>
    <rPh sb="138" eb="140">
      <t>セタイ</t>
    </rPh>
    <rPh sb="140" eb="142">
      <t>ブンリ</t>
    </rPh>
    <rPh sb="168" eb="170">
      <t>ジュウブン</t>
    </rPh>
    <rPh sb="171" eb="173">
      <t>チュウイ</t>
    </rPh>
    <phoneticPr fontId="9"/>
  </si>
  <si>
    <t>・昭和14年1月2日以後に生まれた人</t>
    <phoneticPr fontId="9"/>
  </si>
  <si>
    <t>・昭和14年1月1日以前に生まれた人</t>
    <phoneticPr fontId="9"/>
  </si>
  <si>
    <t>昭和39年～昭和15年生まれ</t>
    <rPh sb="0" eb="2">
      <t>ショウワ</t>
    </rPh>
    <rPh sb="4" eb="5">
      <t>ネン</t>
    </rPh>
    <rPh sb="6" eb="8">
      <t>ショウワ</t>
    </rPh>
    <rPh sb="10" eb="11">
      <t>ネン</t>
    </rPh>
    <rPh sb="11" eb="12">
      <t>ウ</t>
    </rPh>
    <phoneticPr fontId="9"/>
  </si>
  <si>
    <t>非自発的失業者の軽減措置に該当した場合の試算結果です。失業時点で６５歳未満の方で雇用保険受給資格者証の第１面「離職理由」欄が１１、１２、２１、２２、２３、３１、３２、３３、３４の方が軽減措置に該当します。軽減措置の適用を受けるためには「保険証」、「雇用保険受給資格者証」、申請者（世帯主）及び対象者の「個人番号（マイナンバー）カード」又は「通知カード（マイナンバー）及び身分証明書（運転免許証等）」をお持ちいただき、必ず申請が必要です。</t>
    <rPh sb="0" eb="1">
      <t>ヒ</t>
    </rPh>
    <rPh sb="1" eb="3">
      <t>ジハツ</t>
    </rPh>
    <rPh sb="3" eb="4">
      <t>テキ</t>
    </rPh>
    <rPh sb="4" eb="7">
      <t>シツギョウシャ</t>
    </rPh>
    <rPh sb="8" eb="10">
      <t>ケイゲン</t>
    </rPh>
    <rPh sb="10" eb="12">
      <t>ソチ</t>
    </rPh>
    <rPh sb="13" eb="15">
      <t>ガイトウ</t>
    </rPh>
    <rPh sb="17" eb="19">
      <t>バアイ</t>
    </rPh>
    <rPh sb="20" eb="22">
      <t>シサン</t>
    </rPh>
    <rPh sb="22" eb="24">
      <t>ケッカ</t>
    </rPh>
    <rPh sb="102" eb="104">
      <t>ケイゲン</t>
    </rPh>
    <rPh sb="104" eb="106">
      <t>ソチ</t>
    </rPh>
    <rPh sb="107" eb="109">
      <t>テキヨウ</t>
    </rPh>
    <rPh sb="110" eb="111">
      <t>ウ</t>
    </rPh>
    <rPh sb="201" eb="202">
      <t>モ</t>
    </rPh>
    <rPh sb="208" eb="209">
      <t>カナラ</t>
    </rPh>
    <rPh sb="210" eb="212">
      <t>シンセイ</t>
    </rPh>
    <rPh sb="213" eb="215">
      <t>ヒツヨウ</t>
    </rPh>
    <phoneticPr fontId="9"/>
  </si>
  <si>
    <t>・昭和15年1月2日以後に生まれた人</t>
    <phoneticPr fontId="9"/>
  </si>
  <si>
    <t>・昭和15年1月1日以前に生まれた人</t>
    <phoneticPr fontId="9"/>
  </si>
  <si>
    <t>昭和40年～昭和16年生まれ</t>
    <rPh sb="0" eb="2">
      <t>ショウワ</t>
    </rPh>
    <rPh sb="4" eb="5">
      <t>ネン</t>
    </rPh>
    <rPh sb="6" eb="8">
      <t>ショウワ</t>
    </rPh>
    <rPh sb="10" eb="11">
      <t>ネン</t>
    </rPh>
    <rPh sb="11" eb="12">
      <t>ウ</t>
    </rPh>
    <phoneticPr fontId="9"/>
  </si>
  <si>
    <t>・昭和16年1月1日以後に生まれた人</t>
    <phoneticPr fontId="9"/>
  </si>
  <si>
    <t>・昭和16年1月1日以前に生まれた人</t>
    <phoneticPr fontId="9"/>
  </si>
  <si>
    <t>昭和41年～昭和17年生まれ</t>
    <rPh sb="0" eb="2">
      <t>ショウワ</t>
    </rPh>
    <rPh sb="4" eb="5">
      <t>ネン</t>
    </rPh>
    <rPh sb="6" eb="8">
      <t>ショウワ</t>
    </rPh>
    <rPh sb="10" eb="11">
      <t>ネン</t>
    </rPh>
    <rPh sb="11" eb="12">
      <t>ウ</t>
    </rPh>
    <phoneticPr fontId="9"/>
  </si>
  <si>
    <t>・昭和17年1月2日以後に生まれた人</t>
    <phoneticPr fontId="9"/>
  </si>
  <si>
    <t>・昭和17年1月1日以前に生まれた人</t>
    <phoneticPr fontId="9"/>
  </si>
  <si>
    <t>昭和42年～昭和18年生まれ</t>
    <rPh sb="0" eb="2">
      <t>ショウワ</t>
    </rPh>
    <rPh sb="4" eb="5">
      <t>ネン</t>
    </rPh>
    <rPh sb="6" eb="8">
      <t>ショウワ</t>
    </rPh>
    <rPh sb="10" eb="11">
      <t>ネン</t>
    </rPh>
    <rPh sb="11" eb="12">
      <t>ウ</t>
    </rPh>
    <phoneticPr fontId="9"/>
  </si>
  <si>
    <t>・昭和18年1月2日以後に生まれた人</t>
    <phoneticPr fontId="9"/>
  </si>
  <si>
    <t>・昭和18年1月1日以前に生まれた人</t>
    <phoneticPr fontId="9"/>
  </si>
  <si>
    <t>昭和43年～昭和19年生まれ</t>
    <rPh sb="0" eb="2">
      <t>ショウワ</t>
    </rPh>
    <rPh sb="4" eb="5">
      <t>ネン</t>
    </rPh>
    <rPh sb="6" eb="8">
      <t>ショウワ</t>
    </rPh>
    <rPh sb="10" eb="11">
      <t>ネン</t>
    </rPh>
    <rPh sb="11" eb="12">
      <t>ウ</t>
    </rPh>
    <phoneticPr fontId="9"/>
  </si>
  <si>
    <t>・昭和19年1月2日以後に生まれた人</t>
    <phoneticPr fontId="9"/>
  </si>
  <si>
    <t>・昭和19年1月1日以前に生まれた人</t>
    <phoneticPr fontId="9"/>
  </si>
  <si>
    <t>昭和44年～昭和20年生まれ</t>
    <rPh sb="0" eb="2">
      <t>ショウワ</t>
    </rPh>
    <rPh sb="4" eb="5">
      <t>ネン</t>
    </rPh>
    <rPh sb="6" eb="8">
      <t>ショウワ</t>
    </rPh>
    <rPh sb="10" eb="11">
      <t>ネン</t>
    </rPh>
    <rPh sb="11" eb="12">
      <t>ウ</t>
    </rPh>
    <phoneticPr fontId="9"/>
  </si>
  <si>
    <t>・昭和20年1月2日以後に生まれた人</t>
    <phoneticPr fontId="9"/>
  </si>
  <si>
    <t>・昭和20年1月1日以前に生まれた人</t>
    <phoneticPr fontId="9"/>
  </si>
  <si>
    <t>昭和45年～昭和21年生まれ</t>
    <rPh sb="0" eb="2">
      <t>ショウワ</t>
    </rPh>
    <rPh sb="4" eb="5">
      <t>ネン</t>
    </rPh>
    <rPh sb="6" eb="8">
      <t>ショウワ</t>
    </rPh>
    <rPh sb="10" eb="11">
      <t>ネン</t>
    </rPh>
    <rPh sb="11" eb="12">
      <t>ウ</t>
    </rPh>
    <phoneticPr fontId="9"/>
  </si>
  <si>
    <t>・昭和21年1月2日以後に生まれた人</t>
    <phoneticPr fontId="9"/>
  </si>
  <si>
    <t>・昭和21年1月1日以前に生まれた人</t>
    <phoneticPr fontId="9"/>
  </si>
  <si>
    <t>昭和46年～昭和22年生まれ</t>
    <rPh sb="0" eb="2">
      <t>ショウワ</t>
    </rPh>
    <rPh sb="4" eb="5">
      <t>ネン</t>
    </rPh>
    <rPh sb="6" eb="8">
      <t>ショウワ</t>
    </rPh>
    <rPh sb="10" eb="11">
      <t>ネン</t>
    </rPh>
    <rPh sb="11" eb="12">
      <t>ウ</t>
    </rPh>
    <phoneticPr fontId="9"/>
  </si>
  <si>
    <t>・昭和22年1月2日以後に生まれた人</t>
    <phoneticPr fontId="9"/>
  </si>
  <si>
    <t>・昭和22年1月1日以前に生まれた人</t>
    <phoneticPr fontId="9"/>
  </si>
  <si>
    <t>昭和47年～昭和23年生まれ</t>
    <rPh sb="0" eb="2">
      <t>ショウワ</t>
    </rPh>
    <rPh sb="4" eb="5">
      <t>ネン</t>
    </rPh>
    <rPh sb="6" eb="8">
      <t>ショウワ</t>
    </rPh>
    <rPh sb="10" eb="11">
      <t>ネン</t>
    </rPh>
    <rPh sb="11" eb="12">
      <t>ウ</t>
    </rPh>
    <phoneticPr fontId="9"/>
  </si>
  <si>
    <t>・昭和23年1月2日以後に生まれた人</t>
    <phoneticPr fontId="9"/>
  </si>
  <si>
    <t>・昭和23年1月1日以前に生まれた人</t>
    <phoneticPr fontId="9"/>
  </si>
  <si>
    <t>昭和48年～昭和24年生まれ</t>
    <rPh sb="0" eb="2">
      <t>ショウワ</t>
    </rPh>
    <rPh sb="4" eb="5">
      <t>ネン</t>
    </rPh>
    <rPh sb="6" eb="8">
      <t>ショウワ</t>
    </rPh>
    <rPh sb="10" eb="11">
      <t>ネン</t>
    </rPh>
    <rPh sb="11" eb="12">
      <t>ウ</t>
    </rPh>
    <phoneticPr fontId="9"/>
  </si>
  <si>
    <t>・昭和24年1月2日以後に生まれた人</t>
  </si>
  <si>
    <t>・昭和24年1月1日以前に生まれた人</t>
  </si>
  <si>
    <t>昭和49年～昭和25年生まれ</t>
  </si>
  <si>
    <t>・昭和25年1月2日以後に生まれた人</t>
  </si>
  <si>
    <t>・昭和25年1月1日以前に生まれた人</t>
  </si>
  <si>
    <t>昭和50年～昭和26年生まれ</t>
  </si>
  <si>
    <t>・昭和26年1月2日以後に生まれた人</t>
    <phoneticPr fontId="9"/>
  </si>
  <si>
    <t>・昭和26年1月1日以前に生まれた人</t>
    <phoneticPr fontId="9"/>
  </si>
  <si>
    <t>昭和51年～昭和27年生まれ</t>
    <phoneticPr fontId="9"/>
  </si>
  <si>
    <t>・昭和27年1月2日以後に生まれた人</t>
    <phoneticPr fontId="9"/>
  </si>
  <si>
    <t>・昭和27年1月1日以前に生まれた人</t>
    <phoneticPr fontId="9"/>
  </si>
  <si>
    <t>昭和52年～昭和28年生まれ</t>
    <phoneticPr fontId="9"/>
  </si>
  <si>
    <t>・昭和28年1月2日以後に生まれた人</t>
    <phoneticPr fontId="9"/>
  </si>
  <si>
    <t>・昭和28年1月1日以前に生まれた人</t>
    <phoneticPr fontId="9"/>
  </si>
  <si>
    <t>昭和53年～昭和29年生まれ</t>
    <phoneticPr fontId="9"/>
  </si>
  <si>
    <t>・昭和29年1月2日以後に生まれた人</t>
    <phoneticPr fontId="9"/>
  </si>
  <si>
    <t>・昭和29年1月1日以前に生まれた人</t>
    <phoneticPr fontId="9"/>
  </si>
  <si>
    <t>昭和54年～昭和30年生まれ</t>
    <phoneticPr fontId="9"/>
  </si>
  <si>
    <t>・昭和30年1月2日以後に生まれた人</t>
    <phoneticPr fontId="9"/>
  </si>
  <si>
    <t>・昭和30年1月1日以前に生まれた人</t>
    <phoneticPr fontId="9"/>
  </si>
  <si>
    <t>昭和55年～昭和31年生まれ</t>
    <phoneticPr fontId="9"/>
  </si>
  <si>
    <t>・昭和31年1月2日以後に生まれた人</t>
    <phoneticPr fontId="9"/>
  </si>
  <si>
    <t>・昭和31年1月1日以前に生まれた人</t>
    <phoneticPr fontId="9"/>
  </si>
  <si>
    <t>昭和56年～昭和32年生まれ</t>
    <phoneticPr fontId="9"/>
  </si>
  <si>
    <t>・昭和32年1月2日以後に生まれた人</t>
    <phoneticPr fontId="9"/>
  </si>
  <si>
    <t>・昭和32年1月1日以前に生まれた人</t>
    <phoneticPr fontId="9"/>
  </si>
  <si>
    <t>昭和57年～昭和33年生まれ</t>
    <phoneticPr fontId="9"/>
  </si>
  <si>
    <t>・昭和33年1月2日以後に生まれた人</t>
    <phoneticPr fontId="9"/>
  </si>
  <si>
    <t>・昭和33年1月1日以前に生まれた人</t>
    <phoneticPr fontId="9"/>
  </si>
  <si>
    <t>昭和58年～昭和34年生まれ</t>
    <phoneticPr fontId="9"/>
  </si>
  <si>
    <t>・昭和34年1月2日以後に生まれた人</t>
    <phoneticPr fontId="9"/>
  </si>
  <si>
    <t>・昭和34年1月1日以前に生まれた人</t>
    <phoneticPr fontId="9"/>
  </si>
  <si>
    <t>昭和59年～昭和35年生まれ</t>
    <phoneticPr fontId="9"/>
  </si>
  <si>
    <t>今日</t>
    <rPh sb="0" eb="2">
      <t>キョウ</t>
    </rPh>
    <phoneticPr fontId="2"/>
  </si>
  <si>
    <t>&gt;75</t>
    <phoneticPr fontId="2"/>
  </si>
  <si>
    <t>加入しない</t>
    <rPh sb="0" eb="2">
      <t>カニュウ</t>
    </rPh>
    <phoneticPr fontId="2"/>
  </si>
  <si>
    <t>年度</t>
    <rPh sb="0" eb="2">
      <t>ネンド</t>
    </rPh>
    <phoneticPr fontId="9"/>
  </si>
  <si>
    <t>１　給与換算（H28以前はH29で換算）</t>
    <rPh sb="2" eb="4">
      <t>キュウヨ</t>
    </rPh>
    <rPh sb="4" eb="6">
      <t>カンサン</t>
    </rPh>
    <phoneticPr fontId="9"/>
  </si>
  <si>
    <t>　⑵　給与所得に年度に対応した給与所得をセット。</t>
    <rPh sb="3" eb="5">
      <t>キュウヨ</t>
    </rPh>
    <rPh sb="5" eb="7">
      <t>ショトク</t>
    </rPh>
    <rPh sb="8" eb="10">
      <t>ネンド</t>
    </rPh>
    <rPh sb="11" eb="13">
      <t>タイオウ</t>
    </rPh>
    <rPh sb="15" eb="17">
      <t>キュウヨ</t>
    </rPh>
    <rPh sb="17" eb="19">
      <t>ショトク</t>
    </rPh>
    <phoneticPr fontId="9"/>
  </si>
  <si>
    <t>　⑶　非自発適用に非自発を適用させた給与所得をセット。➡ここの所得を使用する。</t>
    <rPh sb="3" eb="4">
      <t>ヒ</t>
    </rPh>
    <rPh sb="4" eb="6">
      <t>ジハツ</t>
    </rPh>
    <rPh sb="6" eb="8">
      <t>テキヨウ</t>
    </rPh>
    <rPh sb="9" eb="10">
      <t>ヒ</t>
    </rPh>
    <rPh sb="10" eb="12">
      <t>ジハツ</t>
    </rPh>
    <rPh sb="13" eb="15">
      <t>テキヨウ</t>
    </rPh>
    <rPh sb="18" eb="22">
      <t>キュウヨショトク</t>
    </rPh>
    <rPh sb="31" eb="33">
      <t>ショトク</t>
    </rPh>
    <rPh sb="34" eb="36">
      <t>シヨウ</t>
    </rPh>
    <phoneticPr fontId="9"/>
  </si>
  <si>
    <t>№</t>
    <phoneticPr fontId="9"/>
  </si>
  <si>
    <t>給与収入</t>
    <rPh sb="0" eb="2">
      <t>キュウヨ</t>
    </rPh>
    <rPh sb="2" eb="4">
      <t>シュウニュウ</t>
    </rPh>
    <phoneticPr fontId="9"/>
  </si>
  <si>
    <t>非自発適用</t>
    <rPh sb="0" eb="1">
      <t>ヒ</t>
    </rPh>
    <rPh sb="1" eb="3">
      <t>ジハツ</t>
    </rPh>
    <rPh sb="3" eb="5">
      <t>テキヨウ</t>
    </rPh>
    <phoneticPr fontId="9"/>
  </si>
  <si>
    <t>給与所得</t>
    <rPh sb="0" eb="2">
      <t>キュウヨ</t>
    </rPh>
    <rPh sb="2" eb="4">
      <t>ショトク</t>
    </rPh>
    <phoneticPr fontId="9"/>
  </si>
  <si>
    <t>～H29</t>
    <phoneticPr fontId="9"/>
  </si>
  <si>
    <t>H30～R2</t>
    <phoneticPr fontId="9"/>
  </si>
  <si>
    <t>R3～</t>
    <phoneticPr fontId="9"/>
  </si>
  <si>
    <t>※軽減判定用（専従者給与除く）</t>
    <rPh sb="1" eb="3">
      <t>ケイゲン</t>
    </rPh>
    <rPh sb="3" eb="5">
      <t>ハンテイ</t>
    </rPh>
    <rPh sb="5" eb="6">
      <t>ヨウ</t>
    </rPh>
    <rPh sb="7" eb="10">
      <t>センジュウシャ</t>
    </rPh>
    <rPh sb="10" eb="12">
      <t>キュウヨ</t>
    </rPh>
    <rPh sb="12" eb="13">
      <t>ノゾ</t>
    </rPh>
    <phoneticPr fontId="9"/>
  </si>
  <si>
    <t>給与収入（専給除く）</t>
    <rPh sb="0" eb="2">
      <t>キュウヨ</t>
    </rPh>
    <rPh sb="2" eb="4">
      <t>シュウニュウ</t>
    </rPh>
    <rPh sb="5" eb="7">
      <t>センキュウ</t>
    </rPh>
    <rPh sb="7" eb="8">
      <t>ノゾ</t>
    </rPh>
    <phoneticPr fontId="9"/>
  </si>
  <si>
    <t>２　給与所得金額調整控除（子介調整・R3以降）</t>
    <rPh sb="2" eb="4">
      <t>キュウヨ</t>
    </rPh>
    <rPh sb="4" eb="6">
      <t>ショトク</t>
    </rPh>
    <rPh sb="6" eb="8">
      <t>キンガク</t>
    </rPh>
    <rPh sb="8" eb="10">
      <t>チョウセイ</t>
    </rPh>
    <rPh sb="10" eb="12">
      <t>コウジョ</t>
    </rPh>
    <rPh sb="13" eb="14">
      <t>コ</t>
    </rPh>
    <rPh sb="14" eb="15">
      <t>カイ</t>
    </rPh>
    <rPh sb="15" eb="17">
      <t>チョウセイ</t>
    </rPh>
    <rPh sb="20" eb="22">
      <t>イコウ</t>
    </rPh>
    <phoneticPr fontId="9"/>
  </si>
  <si>
    <t>　⑵　調整控除額に年度に対応した調整候補額をセット。</t>
    <rPh sb="3" eb="8">
      <t>チョウセイコウジョガク</t>
    </rPh>
    <rPh sb="9" eb="11">
      <t>ネンド</t>
    </rPh>
    <rPh sb="12" eb="14">
      <t>タイオウ</t>
    </rPh>
    <rPh sb="16" eb="18">
      <t>チョウセイ</t>
    </rPh>
    <rPh sb="18" eb="20">
      <t>コウホ</t>
    </rPh>
    <rPh sb="20" eb="21">
      <t>ガク</t>
    </rPh>
    <phoneticPr fontId="9"/>
  </si>
  <si>
    <t>子介調整</t>
    <phoneticPr fontId="9"/>
  </si>
  <si>
    <t>調整控除額</t>
    <rPh sb="0" eb="2">
      <t>チョウセイ</t>
    </rPh>
    <rPh sb="2" eb="4">
      <t>コウジョ</t>
    </rPh>
    <rPh sb="4" eb="5">
      <t>ガク</t>
    </rPh>
    <phoneticPr fontId="9"/>
  </si>
  <si>
    <t>３　給与所得金額調整控除（給年調整・R3以降）</t>
    <phoneticPr fontId="9"/>
  </si>
  <si>
    <t>年金所得</t>
    <rPh sb="0" eb="2">
      <t>ネンキン</t>
    </rPh>
    <rPh sb="2" eb="4">
      <t>ショトク</t>
    </rPh>
    <phoneticPr fontId="9"/>
  </si>
  <si>
    <t>４　65歳未満年金換算（H31以前はR2で換算、年金外所得1,000万円以上は限度額超過のため考慮しない）</t>
    <rPh sb="4" eb="5">
      <t>サイ</t>
    </rPh>
    <rPh sb="5" eb="7">
      <t>ミマン</t>
    </rPh>
    <rPh sb="7" eb="9">
      <t>ネンキン</t>
    </rPh>
    <rPh sb="9" eb="11">
      <t>カンサン</t>
    </rPh>
    <rPh sb="15" eb="17">
      <t>イゼン</t>
    </rPh>
    <rPh sb="21" eb="23">
      <t>カンサン</t>
    </rPh>
    <rPh sb="24" eb="26">
      <t>ネンキン</t>
    </rPh>
    <rPh sb="26" eb="27">
      <t>ガイ</t>
    </rPh>
    <rPh sb="27" eb="29">
      <t>ショトク</t>
    </rPh>
    <rPh sb="34" eb="36">
      <t>マンエン</t>
    </rPh>
    <rPh sb="36" eb="38">
      <t>イジョウ</t>
    </rPh>
    <rPh sb="39" eb="41">
      <t>ゲンド</t>
    </rPh>
    <rPh sb="41" eb="42">
      <t>ガク</t>
    </rPh>
    <rPh sb="42" eb="44">
      <t>チョウカ</t>
    </rPh>
    <rPh sb="47" eb="49">
      <t>コウリョ</t>
    </rPh>
    <phoneticPr fontId="9"/>
  </si>
  <si>
    <t>　⑵　年金所得に年度に対応した給与所得をセット。</t>
    <rPh sb="3" eb="5">
      <t>ネンキン</t>
    </rPh>
    <rPh sb="5" eb="7">
      <t>ショトク</t>
    </rPh>
    <rPh sb="8" eb="10">
      <t>ネンド</t>
    </rPh>
    <rPh sb="11" eb="13">
      <t>タイオウ</t>
    </rPh>
    <rPh sb="15" eb="17">
      <t>キュウヨ</t>
    </rPh>
    <rPh sb="17" eb="19">
      <t>ショトク</t>
    </rPh>
    <phoneticPr fontId="9"/>
  </si>
  <si>
    <t>年金収入</t>
    <rPh sb="0" eb="2">
      <t>ネンキン</t>
    </rPh>
    <rPh sb="2" eb="4">
      <t>シュウニュウ</t>
    </rPh>
    <phoneticPr fontId="9"/>
  </si>
  <si>
    <t>～R2</t>
    <phoneticPr fontId="9"/>
  </si>
  <si>
    <t>５　65歳以上年金換算（H31以前はR2で換算、年金外所得1,000万円以上は限度額超過のため考慮しない）</t>
    <rPh sb="4" eb="5">
      <t>サイ</t>
    </rPh>
    <rPh sb="5" eb="7">
      <t>イジョウ</t>
    </rPh>
    <rPh sb="7" eb="9">
      <t>ネンキン</t>
    </rPh>
    <rPh sb="9" eb="11">
      <t>カンサン</t>
    </rPh>
    <rPh sb="15" eb="17">
      <t>イゼン</t>
    </rPh>
    <rPh sb="21" eb="23">
      <t>カンサン</t>
    </rPh>
    <rPh sb="24" eb="26">
      <t>ネンキン</t>
    </rPh>
    <rPh sb="26" eb="27">
      <t>ガイ</t>
    </rPh>
    <rPh sb="27" eb="29">
      <t>ショトク</t>
    </rPh>
    <rPh sb="34" eb="36">
      <t>マンエン</t>
    </rPh>
    <rPh sb="36" eb="38">
      <t>イジョウ</t>
    </rPh>
    <rPh sb="39" eb="41">
      <t>ゲンド</t>
    </rPh>
    <rPh sb="41" eb="42">
      <t>ガク</t>
    </rPh>
    <rPh sb="42" eb="44">
      <t>チョウカ</t>
    </rPh>
    <rPh sb="47" eb="49">
      <t>コウリョ</t>
    </rPh>
    <phoneticPr fontId="9"/>
  </si>
  <si>
    <t>主</t>
    <rPh sb="0" eb="1">
      <t>ヌシ</t>
    </rPh>
    <phoneticPr fontId="2"/>
  </si>
  <si>
    <t>以降生まれの子</t>
    <rPh sb="0" eb="2">
      <t>イコウ</t>
    </rPh>
    <rPh sb="2" eb="3">
      <t>ウ</t>
    </rPh>
    <rPh sb="6" eb="7">
      <t>コ</t>
    </rPh>
    <phoneticPr fontId="2"/>
  </si>
  <si>
    <t>層判定</t>
    <rPh sb="0" eb="1">
      <t>ソウ</t>
    </rPh>
    <rPh sb="1" eb="3">
      <t>ハンテイ</t>
    </rPh>
    <phoneticPr fontId="2"/>
  </si>
  <si>
    <t>未就学</t>
    <rPh sb="0" eb="3">
      <t>ミシュウガク</t>
    </rPh>
    <phoneticPr fontId="2"/>
  </si>
  <si>
    <t>以降</t>
    <rPh sb="0" eb="2">
      <t>イコウ</t>
    </rPh>
    <phoneticPr fontId="2"/>
  </si>
  <si>
    <t>非自発</t>
    <rPh sb="0" eb="1">
      <t>ヒ</t>
    </rPh>
    <rPh sb="1" eb="3">
      <t>ジハツ</t>
    </rPh>
    <phoneticPr fontId="2"/>
  </si>
  <si>
    <t>層判定</t>
    <rPh sb="0" eb="1">
      <t>ソウ</t>
    </rPh>
    <rPh sb="1" eb="3">
      <t>ハンテイ</t>
    </rPh>
    <phoneticPr fontId="2"/>
  </si>
  <si>
    <t>国保加入</t>
    <rPh sb="0" eb="2">
      <t>コクホ</t>
    </rPh>
    <rPh sb="2" eb="4">
      <t>カニュウ</t>
    </rPh>
    <phoneticPr fontId="2"/>
  </si>
  <si>
    <t>非自発</t>
    <rPh sb="0" eb="1">
      <t>ヒ</t>
    </rPh>
    <rPh sb="1" eb="3">
      <t>ジハツ</t>
    </rPh>
    <phoneticPr fontId="2"/>
  </si>
  <si>
    <t>世帯情報　※所得額に数値を入力すると人数にカウントされます。</t>
    <rPh sb="0" eb="2">
      <t>セタイ</t>
    </rPh>
    <rPh sb="2" eb="4">
      <t>ジョウホウ</t>
    </rPh>
    <rPh sb="6" eb="9">
      <t>ショトクガク</t>
    </rPh>
    <rPh sb="10" eb="12">
      <t>スウチ</t>
    </rPh>
    <rPh sb="13" eb="15">
      <t>ニュウリョク</t>
    </rPh>
    <rPh sb="18" eb="20">
      <t>ニンズウ</t>
    </rPh>
    <phoneticPr fontId="9"/>
  </si>
  <si>
    <t>区分</t>
    <rPh sb="0" eb="2">
      <t>クブン</t>
    </rPh>
    <phoneticPr fontId="9"/>
  </si>
  <si>
    <t>所得額</t>
    <rPh sb="0" eb="2">
      <t>ショトク</t>
    </rPh>
    <rPh sb="2" eb="3">
      <t>ガク</t>
    </rPh>
    <phoneticPr fontId="9"/>
  </si>
  <si>
    <t>人数</t>
    <rPh sb="0" eb="2">
      <t>ニンズウ</t>
    </rPh>
    <phoneticPr fontId="9"/>
  </si>
  <si>
    <t>年金控除額</t>
    <rPh sb="0" eb="2">
      <t>ネンキン</t>
    </rPh>
    <rPh sb="2" eb="4">
      <t>コウジョ</t>
    </rPh>
    <rPh sb="4" eb="5">
      <t>ガク</t>
    </rPh>
    <phoneticPr fontId="9"/>
  </si>
  <si>
    <t>判定所得額</t>
    <rPh sb="0" eb="2">
      <t>ハンテイ</t>
    </rPh>
    <rPh sb="2" eb="4">
      <t>ショトク</t>
    </rPh>
    <rPh sb="4" eb="5">
      <t>ガク</t>
    </rPh>
    <phoneticPr fontId="9"/>
  </si>
  <si>
    <t>給年</t>
    <rPh sb="0" eb="1">
      <t>キュウ</t>
    </rPh>
    <rPh sb="1" eb="2">
      <t>ネン</t>
    </rPh>
    <phoneticPr fontId="9"/>
  </si>
  <si>
    <t>擬主「2」</t>
    <rPh sb="0" eb="1">
      <t>ギ</t>
    </rPh>
    <rPh sb="1" eb="2">
      <t>ヌシ</t>
    </rPh>
    <phoneticPr fontId="9"/>
  </si>
  <si>
    <t>-</t>
    <phoneticPr fontId="9"/>
  </si>
  <si>
    <t>７割</t>
    <rPh sb="1" eb="2">
      <t>ワリ</t>
    </rPh>
    <phoneticPr fontId="9"/>
  </si>
  <si>
    <t>＋　（</t>
    <phoneticPr fontId="9"/>
  </si>
  <si>
    <t>×</t>
    <phoneticPr fontId="9"/>
  </si>
  <si>
    <t>）</t>
    <phoneticPr fontId="9"/>
  </si>
  <si>
    <t>　＝</t>
    <phoneticPr fontId="9"/>
  </si>
  <si>
    <t>擬主「8」</t>
    <rPh sb="0" eb="1">
      <t>ギ</t>
    </rPh>
    <phoneticPr fontId="9"/>
  </si>
  <si>
    <t>５割</t>
    <rPh sb="1" eb="2">
      <t>ワリ</t>
    </rPh>
    <phoneticPr fontId="9"/>
  </si>
  <si>
    <t>）＋（</t>
    <phoneticPr fontId="9"/>
  </si>
  <si>
    <t>）＝</t>
    <phoneticPr fontId="9"/>
  </si>
  <si>
    <t>特定同一世帯
所属者｢9｣
（擬主｢8｣を除く）</t>
    <rPh sb="0" eb="2">
      <t>トクテイ</t>
    </rPh>
    <rPh sb="2" eb="4">
      <t>ドウイツ</t>
    </rPh>
    <rPh sb="4" eb="6">
      <t>セタイ</t>
    </rPh>
    <rPh sb="7" eb="9">
      <t>ショゾク</t>
    </rPh>
    <rPh sb="9" eb="10">
      <t>シャ</t>
    </rPh>
    <phoneticPr fontId="9"/>
  </si>
  <si>
    <t>２割</t>
    <rPh sb="1" eb="2">
      <t>ワリ</t>
    </rPh>
    <phoneticPr fontId="9"/>
  </si>
  <si>
    <t>判定総所得金額</t>
    <rPh sb="0" eb="2">
      <t>ハンテイ</t>
    </rPh>
    <rPh sb="2" eb="5">
      <t>ソウショトク</t>
    </rPh>
    <rPh sb="5" eb="7">
      <t>キンガク</t>
    </rPh>
    <phoneticPr fontId="9"/>
  </si>
  <si>
    <t>譲渡所得特別控除</t>
    <rPh sb="0" eb="2">
      <t>ジョウト</t>
    </rPh>
    <rPh sb="2" eb="4">
      <t>ショトク</t>
    </rPh>
    <rPh sb="4" eb="6">
      <t>トクベツ</t>
    </rPh>
    <rPh sb="6" eb="8">
      <t>コウジョ</t>
    </rPh>
    <phoneticPr fontId="9"/>
  </si>
  <si>
    <t>-</t>
  </si>
  <si>
    <t>専従者給与収入</t>
    <phoneticPr fontId="9"/>
  </si>
  <si>
    <t>専従者給与所得</t>
    <rPh sb="5" eb="7">
      <t>ショトク</t>
    </rPh>
    <phoneticPr fontId="9"/>
  </si>
  <si>
    <t>※　同月加入や、加入月が違うなどの場合は、適宜判定が必要です</t>
    <rPh sb="2" eb="4">
      <t>ドウゲツ</t>
    </rPh>
    <rPh sb="4" eb="6">
      <t>カニュウ</t>
    </rPh>
    <rPh sb="8" eb="10">
      <t>カニュウ</t>
    </rPh>
    <rPh sb="10" eb="11">
      <t>ツキ</t>
    </rPh>
    <rPh sb="12" eb="13">
      <t>チガ</t>
    </rPh>
    <rPh sb="17" eb="19">
      <t>バアイ</t>
    </rPh>
    <rPh sb="21" eb="23">
      <t>テキギ</t>
    </rPh>
    <rPh sb="23" eb="25">
      <t>ハンテイ</t>
    </rPh>
    <rPh sb="26" eb="28">
      <t>ヒツヨウ</t>
    </rPh>
    <phoneticPr fontId="9"/>
  </si>
  <si>
    <t>計</t>
    <rPh sb="0" eb="1">
      <t>ケイ</t>
    </rPh>
    <phoneticPr fontId="9"/>
  </si>
  <si>
    <t>被保険者情報</t>
    <rPh sb="0" eb="4">
      <t>ヒホケンシャ</t>
    </rPh>
    <rPh sb="4" eb="6">
      <t>ジョウホウ</t>
    </rPh>
    <phoneticPr fontId="9"/>
  </si>
  <si>
    <t>【注意】</t>
    <rPh sb="1" eb="3">
      <t>チュウイ</t>
    </rPh>
    <phoneticPr fontId="9"/>
  </si>
  <si>
    <t>※　65歳以上の公的年金等に係る雑所得からは、最大15万円の控除が可能。</t>
    <rPh sb="4" eb="5">
      <t>サイ</t>
    </rPh>
    <rPh sb="5" eb="7">
      <t>イジョウ</t>
    </rPh>
    <rPh sb="8" eb="10">
      <t>コウテキ</t>
    </rPh>
    <rPh sb="10" eb="12">
      <t>ネンキン</t>
    </rPh>
    <rPh sb="12" eb="13">
      <t>トウ</t>
    </rPh>
    <rPh sb="14" eb="15">
      <t>カカ</t>
    </rPh>
    <rPh sb="16" eb="19">
      <t>ザツショトク</t>
    </rPh>
    <rPh sb="23" eb="25">
      <t>サイダイ</t>
    </rPh>
    <rPh sb="27" eb="29">
      <t>マンエン</t>
    </rPh>
    <rPh sb="30" eb="32">
      <t>コウジョ</t>
    </rPh>
    <rPh sb="33" eb="35">
      <t>カノウ</t>
    </rPh>
    <phoneticPr fontId="9"/>
  </si>
  <si>
    <t>※　譲渡所得は特別控除前で軽減判定。</t>
    <rPh sb="2" eb="4">
      <t>ジョウト</t>
    </rPh>
    <rPh sb="4" eb="6">
      <t>ショトク</t>
    </rPh>
    <rPh sb="7" eb="9">
      <t>トクベツ</t>
    </rPh>
    <rPh sb="9" eb="11">
      <t>コウジョ</t>
    </rPh>
    <rPh sb="11" eb="12">
      <t>マエ</t>
    </rPh>
    <rPh sb="13" eb="15">
      <t>ケイゲン</t>
    </rPh>
    <rPh sb="15" eb="17">
      <t>ハンテイ</t>
    </rPh>
    <phoneticPr fontId="9"/>
  </si>
  <si>
    <t>※　事業専従者の専従者給与収入を専従者給与支払者の事業所得に加算</t>
    <rPh sb="8" eb="11">
      <t>センジュウシャ</t>
    </rPh>
    <rPh sb="11" eb="13">
      <t>キュウヨ</t>
    </rPh>
    <rPh sb="13" eb="15">
      <t>シュウニュウ</t>
    </rPh>
    <rPh sb="16" eb="19">
      <t>センジュウシャ</t>
    </rPh>
    <rPh sb="19" eb="21">
      <t>キュウヨ</t>
    </rPh>
    <rPh sb="21" eb="23">
      <t>シハライ</t>
    </rPh>
    <rPh sb="23" eb="24">
      <t>シャ</t>
    </rPh>
    <rPh sb="25" eb="27">
      <t>ジギョウ</t>
    </rPh>
    <rPh sb="27" eb="29">
      <t>ショトク</t>
    </rPh>
    <phoneticPr fontId="9"/>
  </si>
  <si>
    <t>　　 して軽減判定。</t>
    <phoneticPr fontId="9"/>
  </si>
  <si>
    <t>※　事業所得等に係る繰越純損失がある場合は個別計算が必要です。</t>
    <rPh sb="23" eb="25">
      <t>ケイサン</t>
    </rPh>
    <phoneticPr fontId="9"/>
  </si>
  <si>
    <t>＝ 入力項目</t>
    <phoneticPr fontId="9"/>
  </si>
  <si>
    <t>基礎</t>
    <rPh sb="0" eb="2">
      <t>キソ</t>
    </rPh>
    <phoneticPr fontId="2"/>
  </si>
  <si>
    <t>後期</t>
    <rPh sb="0" eb="2">
      <t>コウキ</t>
    </rPh>
    <phoneticPr fontId="2"/>
  </si>
  <si>
    <t>介護</t>
    <rPh sb="0" eb="2">
      <t>カイゴ</t>
    </rPh>
    <phoneticPr fontId="2"/>
  </si>
  <si>
    <t>均等割</t>
    <rPh sb="0" eb="2">
      <t>キントウ</t>
    </rPh>
    <rPh sb="2" eb="3">
      <t>ワリ</t>
    </rPh>
    <phoneticPr fontId="2"/>
  </si>
  <si>
    <t>平等割</t>
    <rPh sb="0" eb="2">
      <t>ビョウドウ</t>
    </rPh>
    <rPh sb="2" eb="3">
      <t>ワリ</t>
    </rPh>
    <phoneticPr fontId="2"/>
  </si>
  <si>
    <t>子介控除</t>
    <rPh sb="0" eb="1">
      <t>コ</t>
    </rPh>
    <rPh sb="1" eb="2">
      <t>カイ</t>
    </rPh>
    <rPh sb="2" eb="4">
      <t>コウジョ</t>
    </rPh>
    <phoneticPr fontId="2"/>
  </si>
  <si>
    <t>所得金額調整控除
（子介控除）</t>
    <rPh sb="0" eb="2">
      <t>ショトク</t>
    </rPh>
    <rPh sb="2" eb="4">
      <t>キンガク</t>
    </rPh>
    <rPh sb="4" eb="6">
      <t>チョウセイ</t>
    </rPh>
    <rPh sb="6" eb="8">
      <t>コウジョ</t>
    </rPh>
    <rPh sb="10" eb="12">
      <t>コカイ</t>
    </rPh>
    <rPh sb="12" eb="14">
      <t>コウジョ</t>
    </rPh>
    <phoneticPr fontId="2"/>
  </si>
  <si>
    <r>
      <rPr>
        <sz val="12"/>
        <color theme="1"/>
        <rFont val="游ゴシック"/>
        <family val="3"/>
        <charset val="128"/>
        <scheme val="minor"/>
      </rPr>
      <t>非自発的失業</t>
    </r>
    <r>
      <rPr>
        <sz val="11"/>
        <color theme="1"/>
        <rFont val="游ゴシック"/>
        <family val="3"/>
        <charset val="128"/>
        <scheme val="minor"/>
      </rPr>
      <t xml:space="preserve">
</t>
    </r>
    <r>
      <rPr>
        <sz val="10"/>
        <color theme="1"/>
        <rFont val="游ゴシック"/>
        <family val="3"/>
        <charset val="128"/>
        <scheme val="minor"/>
      </rPr>
      <t>（倒産・解雇・雇止め）</t>
    </r>
    <rPh sb="0" eb="1">
      <t>ヒ</t>
    </rPh>
    <rPh sb="1" eb="3">
      <t>ジハツ</t>
    </rPh>
    <rPh sb="3" eb="4">
      <t>テキ</t>
    </rPh>
    <rPh sb="4" eb="6">
      <t>シツギョウ</t>
    </rPh>
    <phoneticPr fontId="2"/>
  </si>
  <si>
    <t>子介</t>
    <rPh sb="0" eb="1">
      <t>コ</t>
    </rPh>
    <rPh sb="1" eb="2">
      <t>カイ</t>
    </rPh>
    <phoneticPr fontId="2"/>
  </si>
  <si>
    <t>対象</t>
    <rPh sb="0" eb="2">
      <t>タイショウ</t>
    </rPh>
    <phoneticPr fontId="2"/>
  </si>
  <si>
    <t>　⑴　入力された給与収入を元に各年度のテーブルで所得換算。</t>
    <rPh sb="3" eb="5">
      <t>ニュウリョク</t>
    </rPh>
    <rPh sb="8" eb="10">
      <t>キュウヨ</t>
    </rPh>
    <rPh sb="10" eb="12">
      <t>シュウニュウ</t>
    </rPh>
    <rPh sb="13" eb="14">
      <t>モト</t>
    </rPh>
    <rPh sb="15" eb="16">
      <t>カク</t>
    </rPh>
    <rPh sb="16" eb="18">
      <t>ネンド</t>
    </rPh>
    <rPh sb="24" eb="26">
      <t>ショトク</t>
    </rPh>
    <rPh sb="26" eb="28">
      <t>カンサン</t>
    </rPh>
    <phoneticPr fontId="9"/>
  </si>
  <si>
    <t>　⑴　子介調整の場合、入力された給与収入を元に各年度のテーブルで調整控除額を算出。</t>
    <rPh sb="3" eb="4">
      <t>コ</t>
    </rPh>
    <rPh sb="4" eb="5">
      <t>カイ</t>
    </rPh>
    <rPh sb="5" eb="7">
      <t>チョウセイ</t>
    </rPh>
    <rPh sb="8" eb="10">
      <t>バアイ</t>
    </rPh>
    <rPh sb="11" eb="13">
      <t>ニュウリョク</t>
    </rPh>
    <rPh sb="16" eb="18">
      <t>キュウヨ</t>
    </rPh>
    <rPh sb="18" eb="20">
      <t>シュウニュウ</t>
    </rPh>
    <rPh sb="21" eb="22">
      <t>モト</t>
    </rPh>
    <rPh sb="23" eb="24">
      <t>カク</t>
    </rPh>
    <rPh sb="24" eb="26">
      <t>ネンド</t>
    </rPh>
    <rPh sb="32" eb="34">
      <t>チョウセイ</t>
    </rPh>
    <rPh sb="34" eb="36">
      <t>コウジョ</t>
    </rPh>
    <rPh sb="36" eb="37">
      <t>ガク</t>
    </rPh>
    <rPh sb="38" eb="40">
      <t>サンシュツ</t>
    </rPh>
    <phoneticPr fontId="9"/>
  </si>
  <si>
    <t>　⑴　１⑶の非自発適用後の給与所得と年金所得により、各年度のテーブルで調整控除額を算出。</t>
    <rPh sb="6" eb="7">
      <t>ヒ</t>
    </rPh>
    <rPh sb="7" eb="9">
      <t>ジハツ</t>
    </rPh>
    <rPh sb="9" eb="11">
      <t>テキヨウ</t>
    </rPh>
    <rPh sb="11" eb="12">
      <t>ゴ</t>
    </rPh>
    <rPh sb="13" eb="15">
      <t>キュウヨ</t>
    </rPh>
    <rPh sb="15" eb="17">
      <t>ショトク</t>
    </rPh>
    <rPh sb="18" eb="20">
      <t>ネンキン</t>
    </rPh>
    <rPh sb="20" eb="22">
      <t>ショトク</t>
    </rPh>
    <phoneticPr fontId="9"/>
  </si>
  <si>
    <t>　⑴　入力された年金収入を元に各年度のテーブルで所得換算。</t>
    <rPh sb="3" eb="5">
      <t>ニュウリョク</t>
    </rPh>
    <rPh sb="8" eb="10">
      <t>ネンキン</t>
    </rPh>
    <rPh sb="10" eb="12">
      <t>シュウニュウ</t>
    </rPh>
    <rPh sb="13" eb="14">
      <t>モト</t>
    </rPh>
    <rPh sb="15" eb="16">
      <t>カク</t>
    </rPh>
    <rPh sb="16" eb="18">
      <t>ネンド</t>
    </rPh>
    <rPh sb="24" eb="26">
      <t>ショトク</t>
    </rPh>
    <rPh sb="26" eb="28">
      <t>カンサン</t>
    </rPh>
    <phoneticPr fontId="9"/>
  </si>
  <si>
    <t>６　総所得</t>
    <rPh sb="2" eb="5">
      <t>ソウショトク</t>
    </rPh>
    <phoneticPr fontId="9"/>
  </si>
  <si>
    <t>　⑴　入力された給与・年金収入を元に１～５で計算された金額を合算。</t>
    <rPh sb="3" eb="5">
      <t>ニュウリョク</t>
    </rPh>
    <rPh sb="8" eb="10">
      <t>キュウヨ</t>
    </rPh>
    <rPh sb="11" eb="13">
      <t>ネンキン</t>
    </rPh>
    <rPh sb="13" eb="15">
      <t>シュウニュウ</t>
    </rPh>
    <rPh sb="16" eb="17">
      <t>モト</t>
    </rPh>
    <rPh sb="22" eb="24">
      <t>ケイサン</t>
    </rPh>
    <rPh sb="27" eb="29">
      <t>キンガク</t>
    </rPh>
    <rPh sb="30" eb="32">
      <t>ガッサン</t>
    </rPh>
    <phoneticPr fontId="9"/>
  </si>
  <si>
    <t>控除額</t>
    <rPh sb="0" eb="2">
      <t>コウジョ</t>
    </rPh>
    <rPh sb="2" eb="3">
      <t>ガク</t>
    </rPh>
    <phoneticPr fontId="9"/>
  </si>
  <si>
    <t>総所得</t>
    <rPh sb="0" eb="3">
      <t>ソウショトク</t>
    </rPh>
    <phoneticPr fontId="9"/>
  </si>
  <si>
    <t>その他所得</t>
    <rPh sb="2" eb="3">
      <t>タ</t>
    </rPh>
    <rPh sb="3" eb="5">
      <t>ショトク</t>
    </rPh>
    <phoneticPr fontId="2"/>
  </si>
  <si>
    <t>総所得</t>
    <rPh sb="0" eb="3">
      <t>ソウショトク</t>
    </rPh>
    <phoneticPr fontId="2"/>
  </si>
  <si>
    <t>総所得（軽減用）</t>
    <rPh sb="0" eb="3">
      <t>ソウショトク</t>
    </rPh>
    <rPh sb="4" eb="6">
      <t>ケイゲン</t>
    </rPh>
    <rPh sb="6" eb="7">
      <t>ヨウ</t>
    </rPh>
    <phoneticPr fontId="2"/>
  </si>
  <si>
    <t>年度</t>
    <rPh sb="0" eb="2">
      <t>ネンド</t>
    </rPh>
    <phoneticPr fontId="2"/>
  </si>
  <si>
    <t>給年</t>
    <rPh sb="0" eb="1">
      <t>キュウ</t>
    </rPh>
    <rPh sb="1" eb="2">
      <t>ドシ</t>
    </rPh>
    <phoneticPr fontId="2"/>
  </si>
  <si>
    <t>給年</t>
    <rPh sb="0" eb="1">
      <t>キュウ</t>
    </rPh>
    <rPh sb="1" eb="2">
      <t>ネン</t>
    </rPh>
    <phoneticPr fontId="2"/>
  </si>
  <si>
    <t>年</t>
    <rPh sb="0" eb="1">
      <t>ネン</t>
    </rPh>
    <phoneticPr fontId="2"/>
  </si>
  <si>
    <t>所得割（税率）</t>
    <rPh sb="0" eb="2">
      <t>ショトク</t>
    </rPh>
    <rPh sb="2" eb="3">
      <t>ワリ</t>
    </rPh>
    <rPh sb="4" eb="6">
      <t>ゼイリツ</t>
    </rPh>
    <phoneticPr fontId="2"/>
  </si>
  <si>
    <t>基礎控除</t>
    <rPh sb="0" eb="2">
      <t>キソ</t>
    </rPh>
    <rPh sb="2" eb="4">
      <t>コウジョ</t>
    </rPh>
    <phoneticPr fontId="2"/>
  </si>
  <si>
    <t>所（基）</t>
    <rPh sb="0" eb="1">
      <t>ショ</t>
    </rPh>
    <rPh sb="2" eb="3">
      <t>モトイ</t>
    </rPh>
    <phoneticPr fontId="2"/>
  </si>
  <si>
    <t>所（後）</t>
    <rPh sb="0" eb="1">
      <t>ショ</t>
    </rPh>
    <rPh sb="2" eb="3">
      <t>アト</t>
    </rPh>
    <phoneticPr fontId="2"/>
  </si>
  <si>
    <t>所（介）</t>
    <rPh sb="0" eb="1">
      <t>ショ</t>
    </rPh>
    <rPh sb="2" eb="3">
      <t>スケ</t>
    </rPh>
    <phoneticPr fontId="2"/>
  </si>
  <si>
    <t>均（基）</t>
    <rPh sb="2" eb="3">
      <t>モトイ</t>
    </rPh>
    <phoneticPr fontId="2"/>
  </si>
  <si>
    <t>均（後）</t>
    <rPh sb="2" eb="3">
      <t>アト</t>
    </rPh>
    <phoneticPr fontId="2"/>
  </si>
  <si>
    <t>均（介）</t>
    <rPh sb="2" eb="3">
      <t>スケ</t>
    </rPh>
    <phoneticPr fontId="2"/>
  </si>
  <si>
    <t>計（基）</t>
    <rPh sb="0" eb="1">
      <t>ケイ</t>
    </rPh>
    <rPh sb="2" eb="3">
      <t>モトイ</t>
    </rPh>
    <phoneticPr fontId="2"/>
  </si>
  <si>
    <t>計（後）</t>
    <rPh sb="0" eb="1">
      <t>ケイ</t>
    </rPh>
    <rPh sb="2" eb="3">
      <t>アト</t>
    </rPh>
    <phoneticPr fontId="2"/>
  </si>
  <si>
    <t>計（介）</t>
    <rPh sb="0" eb="1">
      <t>ケイ</t>
    </rPh>
    <rPh sb="2" eb="3">
      <t>スケ</t>
    </rPh>
    <phoneticPr fontId="2"/>
  </si>
  <si>
    <t>年度末</t>
    <rPh sb="0" eb="2">
      <t>ネンド</t>
    </rPh>
    <rPh sb="2" eb="3">
      <t>マツ</t>
    </rPh>
    <phoneticPr fontId="2"/>
  </si>
  <si>
    <t>残月数</t>
    <rPh sb="0" eb="1">
      <t>ザン</t>
    </rPh>
    <rPh sb="1" eb="3">
      <t>ツキスウ</t>
    </rPh>
    <phoneticPr fontId="2"/>
  </si>
  <si>
    <t>年税額</t>
    <rPh sb="0" eb="3">
      <t>ネンゼイガク</t>
    </rPh>
    <phoneticPr fontId="2"/>
  </si>
  <si>
    <t>合計</t>
    <rPh sb="0" eb="2">
      <t>ゴウケイ</t>
    </rPh>
    <phoneticPr fontId="2"/>
  </si>
  <si>
    <t>軽減</t>
    <rPh sb="0" eb="2">
      <t>ケイゲン</t>
    </rPh>
    <phoneticPr fontId="2"/>
  </si>
  <si>
    <t>軽減後</t>
    <rPh sb="0" eb="2">
      <t>ケイゲン</t>
    </rPh>
    <rPh sb="2" eb="3">
      <t>ゴ</t>
    </rPh>
    <phoneticPr fontId="2"/>
  </si>
  <si>
    <t>平（基）</t>
    <rPh sb="0" eb="1">
      <t>タイラ</t>
    </rPh>
    <rPh sb="2" eb="3">
      <t>モトイ</t>
    </rPh>
    <phoneticPr fontId="2"/>
  </si>
  <si>
    <t>平（後）</t>
    <rPh sb="0" eb="1">
      <t>タイラ</t>
    </rPh>
    <rPh sb="2" eb="3">
      <t>アト</t>
    </rPh>
    <phoneticPr fontId="2"/>
  </si>
  <si>
    <t>平（介）</t>
    <rPh sb="0" eb="1">
      <t>タイラ</t>
    </rPh>
    <rPh sb="2" eb="3">
      <t>スケ</t>
    </rPh>
    <phoneticPr fontId="2"/>
  </si>
  <si>
    <t>月（基）</t>
    <rPh sb="0" eb="1">
      <t>ツキ</t>
    </rPh>
    <rPh sb="2" eb="3">
      <t>モトイ</t>
    </rPh>
    <phoneticPr fontId="2"/>
  </si>
  <si>
    <t>月（後）</t>
    <rPh sb="0" eb="1">
      <t>ツキ</t>
    </rPh>
    <rPh sb="2" eb="3">
      <t>アト</t>
    </rPh>
    <phoneticPr fontId="2"/>
  </si>
  <si>
    <t>月（介）</t>
    <rPh sb="0" eb="1">
      <t>ツキ</t>
    </rPh>
    <rPh sb="2" eb="3">
      <t>スケ</t>
    </rPh>
    <phoneticPr fontId="2"/>
  </si>
  <si>
    <t>月割り</t>
    <rPh sb="0" eb="2">
      <t>ツキワ</t>
    </rPh>
    <phoneticPr fontId="2"/>
  </si>
  <si>
    <t>課税額</t>
    <rPh sb="0" eb="3">
      <t>カゼイガク</t>
    </rPh>
    <phoneticPr fontId="2"/>
  </si>
  <si>
    <t>の課税見込み額</t>
    <phoneticPr fontId="2"/>
  </si>
  <si>
    <t>限度額</t>
    <rPh sb="0" eb="2">
      <t>ゲンド</t>
    </rPh>
    <rPh sb="2" eb="3">
      <t>ガク</t>
    </rPh>
    <phoneticPr fontId="2"/>
  </si>
  <si>
    <t>介護月</t>
    <rPh sb="0" eb="2">
      <t>カイゴ</t>
    </rPh>
    <rPh sb="2" eb="3">
      <t>ツキ</t>
    </rPh>
    <phoneticPr fontId="2"/>
  </si>
  <si>
    <t>年度頭</t>
    <rPh sb="0" eb="2">
      <t>ネンド</t>
    </rPh>
    <rPh sb="2" eb="3">
      <t>アタマ</t>
    </rPh>
    <phoneticPr fontId="2"/>
  </si>
  <si>
    <t>２　世帯主の情報を入力してください。</t>
    <rPh sb="2" eb="5">
      <t>セタイヌシ</t>
    </rPh>
    <rPh sb="6" eb="8">
      <t>ジョウホウ</t>
    </rPh>
    <rPh sb="9" eb="11">
      <t>ニュウリョク</t>
    </rPh>
    <phoneticPr fontId="2"/>
  </si>
  <si>
    <t>まるめ</t>
    <phoneticPr fontId="2"/>
  </si>
  <si>
    <t>課税月</t>
    <rPh sb="0" eb="2">
      <t>カゼイ</t>
    </rPh>
    <rPh sb="2" eb="3">
      <t>ツキ</t>
    </rPh>
    <phoneticPr fontId="2"/>
  </si>
  <si>
    <t>介開始</t>
    <rPh sb="0" eb="1">
      <t>スケ</t>
    </rPh>
    <rPh sb="1" eb="3">
      <t>カイシ</t>
    </rPh>
    <phoneticPr fontId="2"/>
  </si>
  <si>
    <t>介終了</t>
    <rPh sb="0" eb="1">
      <t>スケ</t>
    </rPh>
    <rPh sb="1" eb="3">
      <t>シュウリョウ</t>
    </rPh>
    <phoneticPr fontId="2"/>
  </si>
  <si>
    <t>３　国保に加入される方の情報を入力してください。</t>
    <rPh sb="2" eb="4">
      <t>コクホ</t>
    </rPh>
    <rPh sb="5" eb="7">
      <t>カニュウ</t>
    </rPh>
    <rPh sb="10" eb="11">
      <t>カタ</t>
    </rPh>
    <rPh sb="12" eb="14">
      <t>ジョウホウ</t>
    </rPh>
    <rPh sb="15" eb="17">
      <t>ニュウリョク</t>
    </rPh>
    <phoneticPr fontId="2"/>
  </si>
  <si>
    <t>１．算定期間ごとの課税見込額</t>
    <rPh sb="2" eb="4">
      <t>サンテイ</t>
    </rPh>
    <rPh sb="4" eb="6">
      <t>キカン</t>
    </rPh>
    <rPh sb="9" eb="11">
      <t>カゼイ</t>
    </rPh>
    <rPh sb="11" eb="13">
      <t>ミコ</t>
    </rPh>
    <rPh sb="13" eb="14">
      <t>ガク</t>
    </rPh>
    <phoneticPr fontId="2"/>
  </si>
  <si>
    <t>２．所得が一定基準以下の場合の軽減措置について</t>
    <rPh sb="2" eb="4">
      <t>ショトク</t>
    </rPh>
    <rPh sb="5" eb="7">
      <t>イッテイ</t>
    </rPh>
    <rPh sb="7" eb="9">
      <t>キジュン</t>
    </rPh>
    <rPh sb="9" eb="11">
      <t>イカ</t>
    </rPh>
    <rPh sb="12" eb="14">
      <t>バアイ</t>
    </rPh>
    <rPh sb="15" eb="17">
      <t>ケイゲン</t>
    </rPh>
    <rPh sb="17" eb="19">
      <t>ソチ</t>
    </rPh>
    <phoneticPr fontId="2"/>
  </si>
  <si>
    <t>基本</t>
    <rPh sb="0" eb="2">
      <t>キホン</t>
    </rPh>
    <phoneticPr fontId="2"/>
  </si>
  <si>
    <t>（入力例）</t>
    <rPh sb="1" eb="3">
      <t>ニュウリョク</t>
    </rPh>
    <rPh sb="3" eb="4">
      <t>レイ</t>
    </rPh>
    <phoneticPr fontId="2"/>
  </si>
  <si>
    <t>★　試算表の使い方　★</t>
    <rPh sb="2" eb="4">
      <t>シサン</t>
    </rPh>
    <rPh sb="4" eb="5">
      <t>ヒョウ</t>
    </rPh>
    <rPh sb="6" eb="7">
      <t>ツカ</t>
    </rPh>
    <rPh sb="8" eb="9">
      <t>カタ</t>
    </rPh>
    <phoneticPr fontId="2"/>
  </si>
  <si>
    <t>リストから選択</t>
    <rPh sb="5" eb="7">
      <t>センタク</t>
    </rPh>
    <phoneticPr fontId="2"/>
  </si>
  <si>
    <t>直接入力</t>
    <rPh sb="0" eb="2">
      <t>チョクセツ</t>
    </rPh>
    <rPh sb="2" eb="4">
      <t>ニュウリョク</t>
    </rPh>
    <phoneticPr fontId="2"/>
  </si>
  <si>
    <t>自動入力</t>
    <rPh sb="0" eb="2">
      <t>ジドウ</t>
    </rPh>
    <rPh sb="2" eb="4">
      <t>ニュウリョク</t>
    </rPh>
    <phoneticPr fontId="2"/>
  </si>
  <si>
    <r>
      <rPr>
        <b/>
        <sz val="14"/>
        <color rgb="FFFF0000"/>
        <rFont val="游ゴシック"/>
        <family val="3"/>
        <charset val="128"/>
        <scheme val="minor"/>
      </rPr>
      <t>○</t>
    </r>
    <r>
      <rPr>
        <b/>
        <sz val="14"/>
        <color theme="1"/>
        <rFont val="游ゴシック"/>
        <family val="3"/>
        <charset val="128"/>
        <scheme val="minor"/>
      </rPr>
      <t>　色分けについて　→</t>
    </r>
    <rPh sb="2" eb="4">
      <t>イロワ</t>
    </rPh>
    <phoneticPr fontId="2"/>
  </si>
  <si>
    <r>
      <t>※　この計算は試算になりますので、</t>
    </r>
    <r>
      <rPr>
        <b/>
        <sz val="14"/>
        <color rgb="FFFF0000"/>
        <rFont val="游ゴシック"/>
        <family val="3"/>
        <charset val="128"/>
        <scheme val="minor"/>
      </rPr>
      <t>実際の課税額と異なる場合があります。</t>
    </r>
    <phoneticPr fontId="2"/>
  </si>
  <si>
    <t>　　加入後、実際にお送りする納税通知書に記載の金額が納付していただく正しい金額となります。</t>
    <rPh sb="26" eb="28">
      <t>ノウフ</t>
    </rPh>
    <phoneticPr fontId="2"/>
  </si>
  <si>
    <t>※　所得が一定基準以下の世帯に対して、国民健康保険税の均等割り及び平等割を軽減する制度があります。</t>
    <rPh sb="12" eb="14">
      <t>セタイ</t>
    </rPh>
    <rPh sb="15" eb="16">
      <t>タイ</t>
    </rPh>
    <rPh sb="19" eb="21">
      <t>コクミン</t>
    </rPh>
    <rPh sb="21" eb="23">
      <t>ケンコウ</t>
    </rPh>
    <rPh sb="23" eb="25">
      <t>ホケン</t>
    </rPh>
    <rPh sb="25" eb="26">
      <t>ゼイ</t>
    </rPh>
    <rPh sb="27" eb="30">
      <t>キントウワ</t>
    </rPh>
    <rPh sb="31" eb="32">
      <t>オヨ</t>
    </rPh>
    <rPh sb="33" eb="35">
      <t>ビョウドウ</t>
    </rPh>
    <rPh sb="35" eb="36">
      <t>ワリ</t>
    </rPh>
    <rPh sb="37" eb="39">
      <t>ケイゲン</t>
    </rPh>
    <rPh sb="41" eb="43">
      <t>セイド</t>
    </rPh>
    <phoneticPr fontId="2"/>
  </si>
  <si>
    <t>令和６</t>
    <rPh sb="0" eb="2">
      <t>レイワ</t>
    </rPh>
    <phoneticPr fontId="2"/>
  </si>
  <si>
    <t>表題</t>
    <rPh sb="0" eb="2">
      <t>ヒョウダイ</t>
    </rPh>
    <phoneticPr fontId="2"/>
  </si>
  <si>
    <t xml:space="preserve">○　試算した時点と、加入までの間に世帯構成、加入者数、所得の変更がある場合には、再度試算を行ってください。
</t>
    <phoneticPr fontId="2"/>
  </si>
  <si>
    <t>次の内容をお読みになり、「★試算表の使い方」へお進みください。</t>
    <rPh sb="0" eb="1">
      <t>ツギ</t>
    </rPh>
    <rPh sb="2" eb="4">
      <t>ナイヨウ</t>
    </rPh>
    <rPh sb="6" eb="7">
      <t>ヨ</t>
    </rPh>
    <rPh sb="14" eb="17">
      <t>シサンヒョウ</t>
    </rPh>
    <rPh sb="18" eb="19">
      <t>ツカ</t>
    </rPh>
    <rPh sb="20" eb="21">
      <t>カタ</t>
    </rPh>
    <rPh sb="24" eb="25">
      <t>スス</t>
    </rPh>
    <phoneticPr fontId="2"/>
  </si>
  <si>
    <t>○　基礎控除額は43万円で計算しています。（住民税の合計所得金額が2,400万円以下の方）</t>
    <phoneticPr fontId="2"/>
  </si>
  <si>
    <t>　　ただし、遺族年金・障害年金は除きます。</t>
    <rPh sb="6" eb="8">
      <t>イゾク</t>
    </rPh>
    <rPh sb="8" eb="10">
      <t>ネンキン</t>
    </rPh>
    <rPh sb="11" eb="13">
      <t>ショウガイ</t>
    </rPh>
    <rPh sb="13" eb="15">
      <t>ネンキン</t>
    </rPh>
    <rPh sb="16" eb="17">
      <t>ノゾ</t>
    </rPh>
    <phoneticPr fontId="2"/>
  </si>
  <si>
    <t>　○　分離課税所得、専従者給与控除、雑損失の繰越控除がある方がいる場合</t>
    <rPh sb="3" eb="5">
      <t>ブンリ</t>
    </rPh>
    <rPh sb="5" eb="7">
      <t>カゼイ</t>
    </rPh>
    <rPh sb="7" eb="9">
      <t>ショトク</t>
    </rPh>
    <rPh sb="10" eb="13">
      <t>センジュウシャ</t>
    </rPh>
    <rPh sb="13" eb="15">
      <t>キュウヨ</t>
    </rPh>
    <rPh sb="15" eb="17">
      <t>コウジョ</t>
    </rPh>
    <rPh sb="18" eb="21">
      <t>ザッソンシツ</t>
    </rPh>
    <rPh sb="22" eb="24">
      <t>クリコシ</t>
    </rPh>
    <rPh sb="24" eb="26">
      <t>コウジョ</t>
    </rPh>
    <rPh sb="29" eb="30">
      <t>カタ</t>
    </rPh>
    <rPh sb="33" eb="35">
      <t>バアイ</t>
    </rPh>
    <phoneticPr fontId="2"/>
  </si>
  <si>
    <r>
      <t>　〇　世帯主及び加入者に</t>
    </r>
    <r>
      <rPr>
        <b/>
        <sz val="14"/>
        <color rgb="FFFF0000"/>
        <rFont val="游ゴシック"/>
        <family val="3"/>
        <charset val="128"/>
        <scheme val="minor"/>
      </rPr>
      <t>所得不明者（未申告者）がいる場合</t>
    </r>
    <rPh sb="3" eb="6">
      <t>セタイヌシ</t>
    </rPh>
    <rPh sb="6" eb="7">
      <t>オヨ</t>
    </rPh>
    <rPh sb="8" eb="11">
      <t>カニュウシャ</t>
    </rPh>
    <rPh sb="12" eb="14">
      <t>ショトク</t>
    </rPh>
    <rPh sb="14" eb="16">
      <t>フメイ</t>
    </rPh>
    <rPh sb="16" eb="17">
      <t>シャ</t>
    </rPh>
    <rPh sb="18" eb="22">
      <t>ミシンコクシャ</t>
    </rPh>
    <rPh sb="26" eb="28">
      <t>バアイ</t>
    </rPh>
    <phoneticPr fontId="2"/>
  </si>
  <si>
    <t>　○　１～３の順に入力してください。</t>
    <phoneticPr fontId="2"/>
  </si>
  <si>
    <t>　　の欄に源泉徴収票の支払金額、または申</t>
    <phoneticPr fontId="2"/>
  </si>
  <si>
    <t>　　告書の給与収入金額を入力してください。</t>
    <phoneticPr fontId="2"/>
  </si>
  <si>
    <t>　○　年金収入（公的年金）がある場合は、</t>
    <phoneticPr fontId="2"/>
  </si>
  <si>
    <t>　○　給与収入がある場合は、「給与収入」</t>
    <phoneticPr fontId="2"/>
  </si>
  <si>
    <t>　　「年金収入」の欄に源泉徴収票の支払金</t>
    <phoneticPr fontId="2"/>
  </si>
  <si>
    <t>　　額、または申告書の年金収入の金額を入</t>
    <phoneticPr fontId="2"/>
  </si>
  <si>
    <t>　　力してください。</t>
    <phoneticPr fontId="2"/>
  </si>
  <si>
    <t>　○　営業・農業・不動産・その他の事業等</t>
    <phoneticPr fontId="2"/>
  </si>
  <si>
    <t>　　の所得金額がある場合には、「その他所</t>
    <phoneticPr fontId="2"/>
  </si>
  <si>
    <t>　　得」欄に所得金額（収入金額－必要経費）</t>
    <phoneticPr fontId="2"/>
  </si>
  <si>
    <t>　　を入力してください。</t>
    <phoneticPr fontId="2"/>
  </si>
  <si>
    <t>　○　「非自発的失業」の欄で「該当する」</t>
    <rPh sb="7" eb="8">
      <t>テキ</t>
    </rPh>
    <rPh sb="8" eb="10">
      <t>シツギョウ</t>
    </rPh>
    <rPh sb="12" eb="13">
      <t>ラン</t>
    </rPh>
    <phoneticPr fontId="2"/>
  </si>
  <si>
    <t>　　を選択することで、非自発的失業者に係</t>
    <rPh sb="3" eb="5">
      <t>センタク</t>
    </rPh>
    <phoneticPr fontId="2"/>
  </si>
  <si>
    <t>　　る国民健康保険税の軽減に該当した場合</t>
    <phoneticPr fontId="2"/>
  </si>
  <si>
    <t>　　の計算ができます。</t>
    <phoneticPr fontId="2"/>
  </si>
  <si>
    <r>
      <t>○　</t>
    </r>
    <r>
      <rPr>
        <b/>
        <sz val="16"/>
        <color rgb="FFFF0000"/>
        <rFont val="游ゴシック"/>
        <family val="3"/>
        <charset val="128"/>
        <scheme val="minor"/>
      </rPr>
      <t>この試算表は概算になりますので、実際の課税額と異なる場合があります。</t>
    </r>
    <rPh sb="4" eb="7">
      <t>シサンヒョウ</t>
    </rPh>
    <rPh sb="8" eb="10">
      <t>ガイサン</t>
    </rPh>
    <rPh sb="18" eb="20">
      <t>ジッサイ</t>
    </rPh>
    <rPh sb="21" eb="24">
      <t>カゼイガク</t>
    </rPh>
    <rPh sb="25" eb="26">
      <t>コト</t>
    </rPh>
    <rPh sb="28" eb="30">
      <t>バアイ</t>
    </rPh>
    <phoneticPr fontId="2"/>
  </si>
  <si>
    <r>
      <t>○　</t>
    </r>
    <r>
      <rPr>
        <u/>
        <sz val="14"/>
        <color theme="1"/>
        <rFont val="游ゴシック"/>
        <family val="3"/>
        <charset val="128"/>
        <scheme val="minor"/>
      </rPr>
      <t>給与の支払先が２か所以上ある方</t>
    </r>
    <r>
      <rPr>
        <sz val="14"/>
        <color theme="1"/>
        <rFont val="游ゴシック"/>
        <family val="2"/>
        <charset val="128"/>
        <scheme val="minor"/>
      </rPr>
      <t>は、給与収入金額（源泉徴収票の支払金額）を</t>
    </r>
    <r>
      <rPr>
        <u/>
        <sz val="14"/>
        <color theme="1"/>
        <rFont val="游ゴシック"/>
        <family val="3"/>
        <charset val="128"/>
        <scheme val="minor"/>
      </rPr>
      <t>合計して入力してください。</t>
    </r>
    <rPh sb="2" eb="4">
      <t>キュウヨ</t>
    </rPh>
    <rPh sb="5" eb="7">
      <t>シハライ</t>
    </rPh>
    <rPh sb="7" eb="8">
      <t>サキ</t>
    </rPh>
    <rPh sb="11" eb="12">
      <t>ショ</t>
    </rPh>
    <rPh sb="12" eb="14">
      <t>イジョウ</t>
    </rPh>
    <rPh sb="16" eb="17">
      <t>カタ</t>
    </rPh>
    <rPh sb="19" eb="21">
      <t>キュウヨ</t>
    </rPh>
    <rPh sb="21" eb="23">
      <t>シュウニュウ</t>
    </rPh>
    <rPh sb="23" eb="25">
      <t>キンガク</t>
    </rPh>
    <rPh sb="26" eb="28">
      <t>ゲンセン</t>
    </rPh>
    <rPh sb="28" eb="31">
      <t>チョウシュウヒョウ</t>
    </rPh>
    <rPh sb="32" eb="34">
      <t>シハライ</t>
    </rPh>
    <rPh sb="34" eb="36">
      <t>キンガク</t>
    </rPh>
    <rPh sb="38" eb="40">
      <t>ゴウケイ</t>
    </rPh>
    <rPh sb="42" eb="44">
      <t>ニュウリョク</t>
    </rPh>
    <phoneticPr fontId="2"/>
  </si>
  <si>
    <r>
      <t>○　年金収入については、</t>
    </r>
    <r>
      <rPr>
        <u/>
        <sz val="14"/>
        <color theme="1"/>
        <rFont val="游ゴシック"/>
        <family val="3"/>
        <charset val="128"/>
        <scheme val="minor"/>
      </rPr>
      <t>厚生年金・国民年金・共済年金・企業年金の源泉徴収票の支払金額を合計して入力してください。</t>
    </r>
    <rPh sb="2" eb="4">
      <t>ネンキン</t>
    </rPh>
    <rPh sb="4" eb="6">
      <t>シュウニュウ</t>
    </rPh>
    <rPh sb="12" eb="14">
      <t>コウセイ</t>
    </rPh>
    <rPh sb="14" eb="16">
      <t>ネンキン</t>
    </rPh>
    <rPh sb="17" eb="19">
      <t>コクミン</t>
    </rPh>
    <rPh sb="19" eb="21">
      <t>ネンキン</t>
    </rPh>
    <rPh sb="22" eb="24">
      <t>キョウサイ</t>
    </rPh>
    <rPh sb="24" eb="26">
      <t>ネンキン</t>
    </rPh>
    <rPh sb="27" eb="29">
      <t>キギョウ</t>
    </rPh>
    <rPh sb="29" eb="31">
      <t>ネンキン</t>
    </rPh>
    <rPh sb="32" eb="34">
      <t>ゲンセン</t>
    </rPh>
    <rPh sb="34" eb="37">
      <t>チョウシュウヒョウ</t>
    </rPh>
    <rPh sb="38" eb="40">
      <t>シハライ</t>
    </rPh>
    <rPh sb="40" eb="42">
      <t>キンガク</t>
    </rPh>
    <rPh sb="43" eb="45">
      <t>ゴウケイ</t>
    </rPh>
    <rPh sb="47" eb="49">
      <t>ニュウリョク</t>
    </rPh>
    <phoneticPr fontId="2"/>
  </si>
  <si>
    <r>
      <rPr>
        <b/>
        <sz val="14"/>
        <color rgb="FF7030A0"/>
        <rFont val="游ゴシック"/>
        <family val="3"/>
        <charset val="128"/>
        <scheme val="minor"/>
      </rPr>
      <t>※　次の場合には正しく試算ができませんので、直接お問合せください</t>
    </r>
    <r>
      <rPr>
        <sz val="14"/>
        <color rgb="FF7030A0"/>
        <rFont val="游ゴシック"/>
        <family val="3"/>
        <charset val="128"/>
        <scheme val="minor"/>
      </rPr>
      <t>（国保年金課国保税係　TEL　0246-22-7429）</t>
    </r>
    <rPh sb="2" eb="3">
      <t>ツギ</t>
    </rPh>
    <rPh sb="4" eb="6">
      <t>バアイ</t>
    </rPh>
    <rPh sb="8" eb="9">
      <t>タダ</t>
    </rPh>
    <rPh sb="11" eb="13">
      <t>シサン</t>
    </rPh>
    <rPh sb="22" eb="24">
      <t>チョクセツ</t>
    </rPh>
    <rPh sb="25" eb="27">
      <t>トイアワ</t>
    </rPh>
    <rPh sb="33" eb="35">
      <t>コクホ</t>
    </rPh>
    <rPh sb="35" eb="37">
      <t>ネンキン</t>
    </rPh>
    <rPh sb="37" eb="38">
      <t>カ</t>
    </rPh>
    <rPh sb="38" eb="40">
      <t>コクホ</t>
    </rPh>
    <rPh sb="40" eb="41">
      <t>ゼイ</t>
    </rPh>
    <rPh sb="41" eb="42">
      <t>カカリ</t>
    </rPh>
    <phoneticPr fontId="2"/>
  </si>
  <si>
    <t>入　力　票</t>
    <rPh sb="0" eb="1">
      <t>ニュウ</t>
    </rPh>
    <rPh sb="2" eb="3">
      <t>チカラ</t>
    </rPh>
    <rPh sb="4" eb="5">
      <t>ヒョウ</t>
    </rPh>
    <phoneticPr fontId="2"/>
  </si>
  <si>
    <t>試　算　の　結　果</t>
    <rPh sb="0" eb="1">
      <t>タメシ</t>
    </rPh>
    <rPh sb="2" eb="3">
      <t>サン</t>
    </rPh>
    <rPh sb="6" eb="7">
      <t>ケツ</t>
    </rPh>
    <rPh sb="8" eb="9">
      <t>ハテ</t>
    </rPh>
    <phoneticPr fontId="2"/>
  </si>
  <si>
    <t>https://www.city.iwaki.lg.jp/www/contents/1001000003029/index.html</t>
    <phoneticPr fontId="2"/>
  </si>
  <si>
    <t>　→　詳しくはこちら：</t>
    <rPh sb="3" eb="4">
      <t>クワ</t>
    </rPh>
    <phoneticPr fontId="2"/>
  </si>
  <si>
    <t>https://www.city.iwaki.lg.jp/www/contents/1001000003030/index.html</t>
    <phoneticPr fontId="2"/>
  </si>
  <si>
    <r>
      <t>　○　国民健康保険への</t>
    </r>
    <r>
      <rPr>
        <u/>
        <sz val="12"/>
        <color rgb="FFFF0000"/>
        <rFont val="HG丸ｺﾞｼｯｸM-PRO"/>
        <family val="3"/>
        <charset val="128"/>
      </rPr>
      <t>加入日は以前の保険</t>
    </r>
    <rPh sb="3" eb="5">
      <t>コクミン</t>
    </rPh>
    <rPh sb="5" eb="7">
      <t>ケンコウ</t>
    </rPh>
    <rPh sb="7" eb="9">
      <t>ホケン</t>
    </rPh>
    <rPh sb="11" eb="14">
      <t>カニュウビ</t>
    </rPh>
    <rPh sb="15" eb="17">
      <t>イゼン</t>
    </rPh>
    <rPh sb="18" eb="20">
      <t>ホケン</t>
    </rPh>
    <phoneticPr fontId="2"/>
  </si>
  <si>
    <t>　　なお、期別ごとの金額は国民健康保険への加入のお手続きをされる時期によって異なります。</t>
    <rPh sb="5" eb="6">
      <t>キ</t>
    </rPh>
    <rPh sb="6" eb="7">
      <t>ベツ</t>
    </rPh>
    <rPh sb="10" eb="12">
      <t>キンガク</t>
    </rPh>
    <rPh sb="13" eb="15">
      <t>コクミン</t>
    </rPh>
    <rPh sb="15" eb="17">
      <t>ケンコウ</t>
    </rPh>
    <rPh sb="17" eb="19">
      <t>ホケン</t>
    </rPh>
    <rPh sb="21" eb="23">
      <t>カニュウ</t>
    </rPh>
    <rPh sb="25" eb="27">
      <t>テツヅ</t>
    </rPh>
    <rPh sb="32" eb="34">
      <t>ジキ</t>
    </rPh>
    <rPh sb="38" eb="39">
      <t>コト</t>
    </rPh>
    <phoneticPr fontId="2"/>
  </si>
  <si>
    <t>＞末</t>
    <rPh sb="1" eb="2">
      <t>マツ</t>
    </rPh>
    <phoneticPr fontId="2"/>
  </si>
  <si>
    <t>＞75</t>
    <phoneticPr fontId="2"/>
  </si>
  <si>
    <t>Mes</t>
    <phoneticPr fontId="2"/>
  </si>
  <si>
    <t>あなたの国保税の課税見込額等については次のとおりです。</t>
    <phoneticPr fontId="2"/>
  </si>
  <si>
    <t>75歳以上の方（後期高齢者医療保険対象者）が含まれているため、試算できません。</t>
    <rPh sb="2" eb="3">
      <t>サイ</t>
    </rPh>
    <rPh sb="3" eb="5">
      <t>イジョウ</t>
    </rPh>
    <rPh sb="6" eb="7">
      <t>カタ</t>
    </rPh>
    <rPh sb="8" eb="17">
      <t>コウキコウレイシャイリョウホケン</t>
    </rPh>
    <rPh sb="17" eb="20">
      <t>タイショウシャ</t>
    </rPh>
    <rPh sb="22" eb="23">
      <t>フク</t>
    </rPh>
    <rPh sb="31" eb="33">
      <t>シサン</t>
    </rPh>
    <phoneticPr fontId="2"/>
  </si>
  <si>
    <t>生年月日の入力に誤りがあるため試算できません。生年月日をご確認ください。</t>
    <rPh sb="0" eb="2">
      <t>セイネン</t>
    </rPh>
    <rPh sb="2" eb="4">
      <t>ガッピ</t>
    </rPh>
    <rPh sb="5" eb="7">
      <t>ニュウリョク</t>
    </rPh>
    <rPh sb="8" eb="9">
      <t>アヤマ</t>
    </rPh>
    <rPh sb="15" eb="17">
      <t>シサン</t>
    </rPh>
    <rPh sb="23" eb="25">
      <t>セイネン</t>
    </rPh>
    <rPh sb="25" eb="27">
      <t>ガッピ</t>
    </rPh>
    <rPh sb="29" eb="31">
      <t>カクニン</t>
    </rPh>
    <phoneticPr fontId="2"/>
  </si>
  <si>
    <t>0or75</t>
    <phoneticPr fontId="2"/>
  </si>
  <si>
    <t>令和内はここの「年度の数字」と「按分率等タブ」のみ変更してください！</t>
    <rPh sb="0" eb="2">
      <t>レイワ</t>
    </rPh>
    <rPh sb="2" eb="3">
      <t>ナイ</t>
    </rPh>
    <rPh sb="8" eb="10">
      <t>ネンド</t>
    </rPh>
    <rPh sb="11" eb="13">
      <t>スウジ</t>
    </rPh>
    <rPh sb="16" eb="18">
      <t>アンブン</t>
    </rPh>
    <rPh sb="18" eb="19">
      <t>リツ</t>
    </rPh>
    <rPh sb="19" eb="20">
      <t>トウ</t>
    </rPh>
    <rPh sb="25" eb="27">
      <t>ヘンコウ</t>
    </rPh>
    <phoneticPr fontId="2"/>
  </si>
  <si>
    <r>
      <t>　　</t>
    </r>
    <r>
      <rPr>
        <u/>
        <sz val="12"/>
        <color rgb="FFFF0000"/>
        <rFont val="HG丸ｺﾞｼｯｸM-PRO"/>
        <family val="3"/>
        <charset val="128"/>
      </rPr>
      <t>の資格を喪失した日（転入の方は転入日）</t>
    </r>
    <rPh sb="3" eb="5">
      <t>シカク</t>
    </rPh>
    <rPh sb="6" eb="8">
      <t>ソウシツ</t>
    </rPh>
    <rPh sb="10" eb="11">
      <t>ヒ</t>
    </rPh>
    <phoneticPr fontId="2"/>
  </si>
  <si>
    <t>　　になります。</t>
    <phoneticPr fontId="2"/>
  </si>
  <si>
    <t>１　国民健康保険にいつから加入しますか？　※以前の保険の資格を喪失した日（転入の方は転入日）からの加入になります。</t>
    <rPh sb="2" eb="4">
      <t>コクミン</t>
    </rPh>
    <rPh sb="4" eb="6">
      <t>ケンコウ</t>
    </rPh>
    <rPh sb="6" eb="8">
      <t>ホケン</t>
    </rPh>
    <rPh sb="13" eb="15">
      <t>カニュウ</t>
    </rPh>
    <rPh sb="22" eb="24">
      <t>イゼン</t>
    </rPh>
    <rPh sb="25" eb="27">
      <t>ホケン</t>
    </rPh>
    <rPh sb="28" eb="30">
      <t>シカク</t>
    </rPh>
    <rPh sb="31" eb="33">
      <t>ソウシツ</t>
    </rPh>
    <rPh sb="35" eb="36">
      <t>ヒ</t>
    </rPh>
    <rPh sb="49" eb="51">
      <t>カニュウ</t>
    </rPh>
    <phoneticPr fontId="2"/>
  </si>
  <si>
    <t>１ヶ月当たり</t>
    <rPh sb="2" eb="3">
      <t>ゲツ</t>
    </rPh>
    <rPh sb="3" eb="4">
      <t>ア</t>
    </rPh>
    <phoneticPr fontId="2"/>
  </si>
  <si>
    <t>基準日</t>
    <rPh sb="0" eb="3">
      <t>キジュンビ</t>
    </rPh>
    <phoneticPr fontId="2"/>
  </si>
  <si>
    <t>　　１．本人が特別障がい者である場合　　　２．年齢23歳未満の扶養親族がいる場合</t>
    <phoneticPr fontId="2"/>
  </si>
  <si>
    <t>　　３．特別障がい者である同一生計配偶者・扶養親族がいる場合</t>
    <phoneticPr fontId="2"/>
  </si>
  <si>
    <r>
      <t>〇　</t>
    </r>
    <r>
      <rPr>
        <u/>
        <sz val="14"/>
        <color theme="1"/>
        <rFont val="HG丸ｺﾞｼｯｸM-PRO"/>
        <family val="3"/>
        <charset val="128"/>
      </rPr>
      <t>給与収入が850万円を超える方</t>
    </r>
    <r>
      <rPr>
        <sz val="12"/>
        <color theme="1"/>
        <rFont val="HG丸ｺﾞｼｯｸM-PRO"/>
        <family val="3"/>
        <charset val="128"/>
      </rPr>
      <t>で、次のいずれかに該当する場合は「該当する」を選択してください。</t>
    </r>
    <phoneticPr fontId="2"/>
  </si>
  <si>
    <t>　〇　昨年中（１月～12月）の収入を全て入</t>
    <rPh sb="3" eb="6">
      <t>サクネンチュウ</t>
    </rPh>
    <rPh sb="8" eb="9">
      <t>ガツ</t>
    </rPh>
    <rPh sb="12" eb="13">
      <t>ガツ</t>
    </rPh>
    <rPh sb="15" eb="17">
      <t>シュウニュウ</t>
    </rPh>
    <rPh sb="18" eb="19">
      <t>スベ</t>
    </rPh>
    <rPh sb="20" eb="21">
      <t>ニュウ</t>
    </rPh>
    <phoneticPr fontId="2"/>
  </si>
  <si>
    <t>　　力してください。</t>
    <phoneticPr fontId="2"/>
  </si>
  <si>
    <r>
      <t>○　いわき市では、年間８期の期別での納付となりますので、</t>
    </r>
    <r>
      <rPr>
        <b/>
        <sz val="14"/>
        <color rgb="FFFF0000"/>
        <rFont val="游ゴシック"/>
        <family val="3"/>
        <charset val="128"/>
        <scheme val="minor"/>
      </rPr>
      <t>１ヶ月あたりの税額と１期あたりの税額は異なります。　</t>
    </r>
    <rPh sb="5" eb="6">
      <t>シ</t>
    </rPh>
    <rPh sb="9" eb="11">
      <t>ネンカン</t>
    </rPh>
    <rPh sb="12" eb="13">
      <t>キ</t>
    </rPh>
    <rPh sb="14" eb="15">
      <t>キ</t>
    </rPh>
    <rPh sb="15" eb="16">
      <t>ベツ</t>
    </rPh>
    <rPh sb="18" eb="20">
      <t>ノウフ</t>
    </rPh>
    <phoneticPr fontId="2"/>
  </si>
  <si>
    <r>
      <t>○　</t>
    </r>
    <r>
      <rPr>
        <b/>
        <sz val="14"/>
        <color rgb="FFFF0000"/>
        <rFont val="游ゴシック"/>
        <family val="3"/>
        <charset val="128"/>
        <scheme val="minor"/>
      </rPr>
      <t>国民健康保険税は世帯主に課税されます。</t>
    </r>
    <rPh sb="2" eb="4">
      <t>コクミン</t>
    </rPh>
    <rPh sb="4" eb="6">
      <t>ケンコウ</t>
    </rPh>
    <rPh sb="6" eb="8">
      <t>ホケン</t>
    </rPh>
    <rPh sb="8" eb="9">
      <t>ゼイ</t>
    </rPh>
    <rPh sb="10" eb="13">
      <t>セタイヌシ</t>
    </rPh>
    <rPh sb="14" eb="16">
      <t>カゼイ</t>
    </rPh>
    <phoneticPr fontId="2"/>
  </si>
  <si>
    <t>　　世帯主が国保に加入していなくても、世帯の中に一人でも国民健康保険に加入している方がいれば、納税通知書は世帯主に送られます。</t>
    <rPh sb="2" eb="5">
      <t>セタイヌシ</t>
    </rPh>
    <rPh sb="6" eb="8">
      <t>コクホ</t>
    </rPh>
    <rPh sb="9" eb="11">
      <t>カニュウ</t>
    </rPh>
    <rPh sb="19" eb="21">
      <t>セタイ</t>
    </rPh>
    <rPh sb="22" eb="23">
      <t>ナカ</t>
    </rPh>
    <rPh sb="24" eb="26">
      <t>ヒトリ</t>
    </rPh>
    <rPh sb="28" eb="30">
      <t>コクミン</t>
    </rPh>
    <rPh sb="30" eb="32">
      <t>ケンコウ</t>
    </rPh>
    <rPh sb="32" eb="34">
      <t>ホケン</t>
    </rPh>
    <rPh sb="35" eb="37">
      <t>カニュウ</t>
    </rPh>
    <rPh sb="41" eb="42">
      <t>カタ</t>
    </rPh>
    <rPh sb="47" eb="49">
      <t>ノウゼイ</t>
    </rPh>
    <rPh sb="49" eb="52">
      <t>ツウチショ</t>
    </rPh>
    <rPh sb="53" eb="56">
      <t>セタイヌシ</t>
    </rPh>
    <rPh sb="57" eb="58">
      <t>オク</t>
    </rPh>
    <phoneticPr fontId="2"/>
  </si>
  <si>
    <t>　〇　同じ年度内で国民健康保険に加入した期間が複数回ある場合、または、家族が既に国民健康保険に加入している場合</t>
    <rPh sb="3" eb="4">
      <t>オナ</t>
    </rPh>
    <rPh sb="5" eb="8">
      <t>ネンドナイ</t>
    </rPh>
    <rPh sb="9" eb="11">
      <t>コクミン</t>
    </rPh>
    <rPh sb="11" eb="13">
      <t>ケンコウ</t>
    </rPh>
    <rPh sb="13" eb="15">
      <t>ホケン</t>
    </rPh>
    <rPh sb="16" eb="18">
      <t>カニュウ</t>
    </rPh>
    <rPh sb="20" eb="22">
      <t>キカン</t>
    </rPh>
    <rPh sb="28" eb="30">
      <t>バアイ</t>
    </rPh>
    <rPh sb="35" eb="37">
      <t>カゾク</t>
    </rPh>
    <rPh sb="38" eb="39">
      <t>スデ</t>
    </rPh>
    <rPh sb="40" eb="46">
      <t>コクミンケンコウホケン</t>
    </rPh>
    <rPh sb="47" eb="49">
      <t>カニュウ</t>
    </rPh>
    <rPh sb="53" eb="55">
      <t>バアイ</t>
    </rPh>
    <phoneticPr fontId="2"/>
  </si>
  <si>
    <r>
      <t>※　いわき市では、年間８期の期別での納付となりますので、</t>
    </r>
    <r>
      <rPr>
        <b/>
        <sz val="14"/>
        <color rgb="FFFF0000"/>
        <rFont val="游ゴシック"/>
        <family val="3"/>
        <charset val="128"/>
        <scheme val="minor"/>
      </rPr>
      <t>１ヶ月あたりの税額と１期あたりの税額は異なります。　</t>
    </r>
    <phoneticPr fontId="2"/>
  </si>
  <si>
    <r>
      <t>※　</t>
    </r>
    <r>
      <rPr>
        <b/>
        <sz val="14"/>
        <color rgb="FFFF0000"/>
        <rFont val="游ゴシック"/>
        <family val="3"/>
        <charset val="128"/>
        <scheme val="minor"/>
      </rPr>
      <t>国民健康保険税は世帯主に課税されます。</t>
    </r>
    <phoneticPr fontId="2"/>
  </si>
  <si>
    <t>　　世帯主が国保に加入していなくても、世帯の中に一人でも国民健康保険に加入している方がいれば、納税通知書は世帯主に送られます。</t>
    <phoneticPr fontId="2"/>
  </si>
  <si>
    <t>昭和60年～昭和36年生まれ</t>
    <phoneticPr fontId="2"/>
  </si>
  <si>
    <t>・昭和35年1月1日以前に生まれた人</t>
    <phoneticPr fontId="2"/>
  </si>
  <si>
    <t>・昭和35年1月2日以後に生まれた人</t>
    <phoneticPr fontId="9"/>
  </si>
  <si>
    <t>R8～</t>
    <phoneticPr fontId="9"/>
  </si>
  <si>
    <t>１年間加入した場合</t>
    <rPh sb="1" eb="3">
      <t>ネンカン</t>
    </rPh>
    <rPh sb="3" eb="5">
      <t>カニュウ</t>
    </rPh>
    <rPh sb="7" eb="9">
      <t>バアイ</t>
    </rPh>
    <phoneticPr fontId="2"/>
  </si>
  <si>
    <r>
      <t>の課税見込み額</t>
    </r>
    <r>
      <rPr>
        <vertAlign val="superscript"/>
        <sz val="14"/>
        <color theme="1"/>
        <rFont val="游ゴシック"/>
        <family val="3"/>
        <charset val="128"/>
        <scheme val="minor"/>
      </rPr>
      <t>※１</t>
    </r>
    <phoneticPr fontId="2"/>
  </si>
  <si>
    <r>
      <t>の課税見込み額</t>
    </r>
    <r>
      <rPr>
        <vertAlign val="superscript"/>
        <sz val="14"/>
        <color theme="1"/>
        <rFont val="游ゴシック"/>
        <family val="3"/>
        <charset val="128"/>
        <scheme val="minor"/>
      </rPr>
      <t>※２</t>
    </r>
    <phoneticPr fontId="2"/>
  </si>
  <si>
    <t>※２　「〇月から〇月までの課税見込み額」は、実際の加入期間に係る増減額分及び75歳到達での後期高齢者医療保険移行による減額分、40歳及び65歳到達での
　　介護保険分の増減額分を考慮して計算されています。</t>
    <rPh sb="13" eb="15">
      <t>カゼイ</t>
    </rPh>
    <rPh sb="15" eb="17">
      <t>ミコ</t>
    </rPh>
    <rPh sb="18" eb="19">
      <t>ガク</t>
    </rPh>
    <rPh sb="22" eb="24">
      <t>ジッサイ</t>
    </rPh>
    <rPh sb="25" eb="27">
      <t>カニュウ</t>
    </rPh>
    <rPh sb="27" eb="29">
      <t>キカン</t>
    </rPh>
    <rPh sb="30" eb="31">
      <t>カカ</t>
    </rPh>
    <rPh sb="32" eb="35">
      <t>ゾウゲンガク</t>
    </rPh>
    <rPh sb="35" eb="36">
      <t>ブン</t>
    </rPh>
    <rPh sb="36" eb="37">
      <t>オヨ</t>
    </rPh>
    <rPh sb="84" eb="87">
      <t>ゾウゲンガク</t>
    </rPh>
    <rPh sb="89" eb="91">
      <t>コウリョ</t>
    </rPh>
    <rPh sb="93" eb="95">
      <t>ケイサン</t>
    </rPh>
    <phoneticPr fontId="2"/>
  </si>
  <si>
    <t>※１　「１年間加入した場合の課税見込み額」は、実際の加入期間に係わらず全ての加入者の加入期間を１年間（12か月）とした場合の課税見込み額（年税額）
　　のため、75歳到達での後期高齢者医療保険移行による減額分、65歳到達での介護保険分の減額分は計算されていません。</t>
    <rPh sb="5" eb="7">
      <t>ネンカン</t>
    </rPh>
    <rPh sb="7" eb="9">
      <t>カニュウ</t>
    </rPh>
    <rPh sb="11" eb="13">
      <t>バアイ</t>
    </rPh>
    <rPh sb="14" eb="16">
      <t>カゼイ</t>
    </rPh>
    <rPh sb="16" eb="18">
      <t>ミコ</t>
    </rPh>
    <rPh sb="19" eb="20">
      <t>ガク</t>
    </rPh>
    <rPh sb="23" eb="25">
      <t>ジッサイ</t>
    </rPh>
    <rPh sb="26" eb="28">
      <t>カニュウ</t>
    </rPh>
    <rPh sb="28" eb="30">
      <t>キカン</t>
    </rPh>
    <rPh sb="31" eb="32">
      <t>カカ</t>
    </rPh>
    <rPh sb="35" eb="36">
      <t>スベ</t>
    </rPh>
    <rPh sb="38" eb="41">
      <t>カニュウシャ</t>
    </rPh>
    <rPh sb="42" eb="44">
      <t>カニュウ</t>
    </rPh>
    <rPh sb="44" eb="46">
      <t>キカン</t>
    </rPh>
    <rPh sb="48" eb="50">
      <t>ネンカン</t>
    </rPh>
    <rPh sb="54" eb="55">
      <t>ゲツ</t>
    </rPh>
    <rPh sb="59" eb="61">
      <t>バアイ</t>
    </rPh>
    <rPh sb="62" eb="64">
      <t>カゼイ</t>
    </rPh>
    <rPh sb="64" eb="66">
      <t>ミコ</t>
    </rPh>
    <rPh sb="67" eb="68">
      <t>ガク</t>
    </rPh>
    <rPh sb="69" eb="72">
      <t>ネンゼイガク</t>
    </rPh>
    <rPh sb="82" eb="83">
      <t>サイ</t>
    </rPh>
    <rPh sb="83" eb="85">
      <t>トウタツ</t>
    </rPh>
    <rPh sb="87" eb="96">
      <t>コウキコウレイシャイリョウホケン</t>
    </rPh>
    <rPh sb="96" eb="98">
      <t>イコウ</t>
    </rPh>
    <rPh sb="101" eb="103">
      <t>ゲンガク</t>
    </rPh>
    <rPh sb="103" eb="104">
      <t>ブン</t>
    </rPh>
    <rPh sb="107" eb="108">
      <t>サイ</t>
    </rPh>
    <rPh sb="108" eb="110">
      <t>トウタツ</t>
    </rPh>
    <rPh sb="112" eb="114">
      <t>カイゴ</t>
    </rPh>
    <rPh sb="114" eb="116">
      <t>ホケン</t>
    </rPh>
    <rPh sb="116" eb="117">
      <t>ブン</t>
    </rPh>
    <rPh sb="118" eb="120">
      <t>ゲンガク</t>
    </rPh>
    <rPh sb="120" eb="121">
      <t>ブン</t>
    </rPh>
    <rPh sb="122" eb="124">
      <t>ケイサン</t>
    </rPh>
    <phoneticPr fontId="2"/>
  </si>
  <si>
    <t>介護</t>
    <rPh sb="0" eb="2">
      <t>カイゴ</t>
    </rPh>
    <phoneticPr fontId="2"/>
  </si>
  <si>
    <t>基礎</t>
    <rPh sb="0" eb="2">
      <t>キソ</t>
    </rPh>
    <phoneticPr fontId="2"/>
  </si>
  <si>
    <t>平等</t>
    <rPh sb="0" eb="2">
      <t>ビョウドウ</t>
    </rPh>
    <phoneticPr fontId="2"/>
  </si>
  <si>
    <t>/12</t>
    <phoneticPr fontId="2"/>
  </si>
  <si>
    <t>合計</t>
    <rPh sb="0" eb="2">
      <t>ゴウケイ</t>
    </rPh>
    <phoneticPr fontId="2"/>
  </si>
  <si>
    <t>月計</t>
    <rPh sb="0" eb="1">
      <t>ツキ</t>
    </rPh>
    <rPh sb="1" eb="2">
      <t>ケイ</t>
    </rPh>
    <phoneticPr fontId="2"/>
  </si>
  <si>
    <t>上限</t>
    <rPh sb="0" eb="2">
      <t>ジョウゲン</t>
    </rPh>
    <phoneticPr fontId="2"/>
  </si>
  <si>
    <t>小計</t>
    <rPh sb="0" eb="2">
      <t>ショウケイ</t>
    </rPh>
    <phoneticPr fontId="2"/>
  </si>
  <si>
    <t>後期</t>
    <rPh sb="0" eb="2">
      <t>コウキ</t>
    </rPh>
    <phoneticPr fontId="2"/>
  </si>
  <si>
    <t>月</t>
    <rPh sb="0" eb="1">
      <t>ツキ</t>
    </rPh>
    <phoneticPr fontId="2"/>
  </si>
  <si>
    <t>項目</t>
    <rPh sb="0" eb="2">
      <t>コウモク</t>
    </rPh>
    <phoneticPr fontId="2"/>
  </si>
  <si>
    <t>限度額</t>
    <rPh sb="0" eb="2">
      <t>ゲンド</t>
    </rPh>
    <rPh sb="2" eb="3">
      <t>ガク</t>
    </rPh>
    <phoneticPr fontId="2"/>
  </si>
  <si>
    <t>-</t>
    <phoneticPr fontId="2"/>
  </si>
  <si>
    <t>上限額以上</t>
    <rPh sb="0" eb="2">
      <t>ジョウゲン</t>
    </rPh>
    <rPh sb="2" eb="3">
      <t>ガク</t>
    </rPh>
    <rPh sb="3" eb="5">
      <t>イジョウ</t>
    </rPh>
    <phoneticPr fontId="2"/>
  </si>
  <si>
    <t>上限額月割り（表）</t>
    <rPh sb="0" eb="3">
      <t>ジョウゲンガク</t>
    </rPh>
    <rPh sb="3" eb="5">
      <t>ツキワ</t>
    </rPh>
    <rPh sb="7" eb="8">
      <t>ヒョウ</t>
    </rPh>
    <phoneticPr fontId="2"/>
  </si>
  <si>
    <t>R3～R7</t>
    <phoneticPr fontId="9"/>
  </si>
  <si>
    <t>　に対する軽減措置（非自発的失業者に係る軽減措置）に該当する場合の計算ができます。</t>
    <phoneticPr fontId="2"/>
  </si>
  <si>
    <r>
      <t>○　会社の倒産・解雇などによる離職（特定受給資格者）や、雇止めなどによる離職（特定理由離職者）をした方（</t>
    </r>
    <r>
      <rPr>
        <b/>
        <sz val="14"/>
        <color rgb="FFFF0000"/>
        <rFont val="游ゴシック"/>
        <family val="3"/>
        <charset val="128"/>
        <scheme val="minor"/>
      </rPr>
      <t>65歳未満の方に限る</t>
    </r>
    <r>
      <rPr>
        <sz val="14"/>
        <color theme="1"/>
        <rFont val="游ゴシック"/>
        <family val="2"/>
        <charset val="128"/>
        <scheme val="minor"/>
      </rPr>
      <t>）</t>
    </r>
    <rPh sb="2" eb="4">
      <t>カイシャ</t>
    </rPh>
    <rPh sb="5" eb="7">
      <t>トウサン</t>
    </rPh>
    <rPh sb="8" eb="10">
      <t>カイコ</t>
    </rPh>
    <rPh sb="15" eb="17">
      <t>リショク</t>
    </rPh>
    <rPh sb="18" eb="20">
      <t>トクテイ</t>
    </rPh>
    <rPh sb="20" eb="22">
      <t>ジュキュウ</t>
    </rPh>
    <rPh sb="22" eb="25">
      <t>シカクシャ</t>
    </rPh>
    <rPh sb="28" eb="29">
      <t>ヤトイ</t>
    </rPh>
    <rPh sb="29" eb="30">
      <t>ド</t>
    </rPh>
    <rPh sb="36" eb="38">
      <t>リショク</t>
    </rPh>
    <rPh sb="39" eb="41">
      <t>トクテイ</t>
    </rPh>
    <rPh sb="41" eb="43">
      <t>リユウ</t>
    </rPh>
    <rPh sb="43" eb="46">
      <t>リショクシャ</t>
    </rPh>
    <rPh sb="50" eb="51">
      <t>カタ</t>
    </rPh>
    <rPh sb="54" eb="55">
      <t>サイ</t>
    </rPh>
    <rPh sb="55" eb="57">
      <t>ミマン</t>
    </rPh>
    <rPh sb="58" eb="59">
      <t>カタ</t>
    </rPh>
    <rPh sb="60" eb="61">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</si>
</sst>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円&quot;_ ;[Red]\-#,##0&quot;円&quot;\ "/>
    <numFmt numFmtId="177" formatCode="[$-411]ge\.m\.d;@"/>
    <numFmt numFmtId="178" formatCode="0.0_ "/>
    <numFmt numFmtId="179" formatCode="0.0_);[Red]\(0.0\)"/>
    <numFmt numFmtId="180" formatCode="#,##0_);[Red]\(#,##0\)"/>
    <numFmt numFmtId="181" formatCode="#,##0_ "/>
    <numFmt numFmtId="182" formatCode="#,##0&quot;円&quot;"/>
    <numFmt numFmtId="183" formatCode="0_);[Red]\(0\)"/>
    <numFmt numFmtId="184" formatCode="General&quot;人&quot;"/>
    <numFmt numFmtId="185" formatCode="#,##0&quot;円&quot;_ "/>
    <numFmt numFmtId="186" formatCode="#,##0.000_ ;[Red]\-#,##0.000\ "/>
    <numFmt numFmtId="187" formatCode="#,##0.000;[Red]\-#,##0.000"/>
    <numFmt numFmtId="188" formatCode="&quot;約&quot;\ \ #,##0&quot;円&quot;"/>
    <numFmt numFmtId="189" formatCode="0.000_ "/>
    <numFmt numFmtId="190" formatCode="0.000_);[Red]\(0.000\)"/>
    <numFmt numFmtId="191" formatCode="#,##0.000_ "/>
  </numFmts>
  <fonts count="4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11"/>
      <name val="ＭＳ Ｐゴシック"/>
      <family val="3"/>
      <charset val="128"/>
    </font>
    <font>
      <sz val="6"/>
      <name val="ＭＳ Ｐゴシック"/>
      <family val="3"/>
      <charset val="128"/>
    </font>
    <font>
      <sz val="9.5"/>
      <name val="ＭＳ Ｐゴシック"/>
      <family val="3"/>
      <charset val="128"/>
    </font>
    <font>
      <sz val="11"/>
      <color rgb="FFFF0000"/>
      <name val="ＭＳ Ｐゴシック"/>
      <family val="3"/>
      <charset val="128"/>
    </font>
    <font>
      <sz val="9"/>
      <name val="游ゴシック"/>
      <family val="3"/>
      <charset val="128"/>
    </font>
    <font>
      <sz val="12"/>
      <name val="ＭＳ Ｐゴシック"/>
      <family val="3"/>
      <charset val="128"/>
    </font>
    <font>
      <sz val="12"/>
      <color theme="0"/>
      <name val="ＭＳ Ｐゴシック"/>
      <family val="3"/>
      <charset val="128"/>
    </font>
    <font>
      <sz val="12"/>
      <color rgb="FFFF0000"/>
      <name val="ＭＳ Ｐゴシック"/>
      <family val="3"/>
      <charset val="128"/>
    </font>
    <font>
      <b/>
      <sz val="12"/>
      <name val="ＭＳ Ｐゴシック"/>
      <family val="3"/>
      <charset val="128"/>
    </font>
    <font>
      <sz val="12"/>
      <color rgb="FFFF00FF"/>
      <name val="ＭＳ Ｐゴシック"/>
      <family val="3"/>
      <charset val="128"/>
    </font>
    <font>
      <sz val="12"/>
      <color theme="1"/>
      <name val="ＭＳ Ｐゴシック"/>
      <family val="3"/>
      <charset val="128"/>
    </font>
    <font>
      <b/>
      <sz val="9"/>
      <color indexed="81"/>
      <name val="MS P ゴシック"/>
      <family val="3"/>
      <charset val="128"/>
    </font>
    <font>
      <b/>
      <sz val="9"/>
      <color indexed="81"/>
      <name val="ＭＳ Ｐゴシック"/>
      <family val="3"/>
      <charset val="128"/>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b/>
      <sz val="14"/>
      <color rgb="FFFF0000"/>
      <name val="游ゴシック"/>
      <family val="3"/>
      <charset val="128"/>
      <scheme val="minor"/>
    </font>
    <font>
      <sz val="24"/>
      <color theme="1"/>
      <name val="游ゴシック"/>
      <family val="2"/>
      <charset val="128"/>
      <scheme val="minor"/>
    </font>
    <font>
      <sz val="14"/>
      <color rgb="FFFF0000"/>
      <name val="游ゴシック"/>
      <family val="3"/>
      <charset val="128"/>
      <scheme val="minor"/>
    </font>
    <font>
      <b/>
      <sz val="20"/>
      <color theme="1"/>
      <name val="游ゴシック"/>
      <family val="3"/>
      <charset val="128"/>
      <scheme val="minor"/>
    </font>
    <font>
      <b/>
      <sz val="14"/>
      <color rgb="FF00B050"/>
      <name val="游ゴシック"/>
      <family val="3"/>
      <charset val="128"/>
      <scheme val="minor"/>
    </font>
    <font>
      <sz val="14"/>
      <color theme="1"/>
      <name val="HG丸ｺﾞｼｯｸM-PRO"/>
      <family val="3"/>
      <charset val="128"/>
    </font>
    <font>
      <sz val="12"/>
      <color theme="1"/>
      <name val="HG丸ｺﾞｼｯｸM-PRO"/>
      <family val="3"/>
      <charset val="128"/>
    </font>
    <font>
      <b/>
      <sz val="16"/>
      <color rgb="FFFF0000"/>
      <name val="游ゴシック"/>
      <family val="3"/>
      <charset val="128"/>
      <scheme val="minor"/>
    </font>
    <font>
      <b/>
      <sz val="24"/>
      <color theme="0"/>
      <name val="HG丸ｺﾞｼｯｸM-PRO"/>
      <family val="3"/>
      <charset val="128"/>
    </font>
    <font>
      <b/>
      <sz val="16"/>
      <color theme="0"/>
      <name val="HG丸ｺﾞｼｯｸM-PRO"/>
      <family val="3"/>
      <charset val="128"/>
    </font>
    <font>
      <u/>
      <sz val="14"/>
      <color theme="1"/>
      <name val="游ゴシック"/>
      <family val="3"/>
      <charset val="128"/>
      <scheme val="minor"/>
    </font>
    <font>
      <sz val="14"/>
      <color rgb="FF7030A0"/>
      <name val="游ゴシック"/>
      <family val="3"/>
      <charset val="128"/>
      <scheme val="minor"/>
    </font>
    <font>
      <b/>
      <sz val="14"/>
      <color rgb="FF7030A0"/>
      <name val="游ゴシック"/>
      <family val="3"/>
      <charset val="128"/>
      <scheme val="minor"/>
    </font>
    <font>
      <sz val="11"/>
      <color rgb="FFFF0000"/>
      <name val="游ゴシック"/>
      <family val="2"/>
      <charset val="128"/>
      <scheme val="minor"/>
    </font>
    <font>
      <b/>
      <sz val="20"/>
      <color theme="0"/>
      <name val="游ゴシック"/>
      <family val="3"/>
      <charset val="128"/>
      <scheme val="minor"/>
    </font>
    <font>
      <u/>
      <sz val="11"/>
      <color theme="10"/>
      <name val="游ゴシック"/>
      <family val="2"/>
      <charset val="128"/>
      <scheme val="minor"/>
    </font>
    <font>
      <u/>
      <sz val="12"/>
      <color rgb="FFFF0000"/>
      <name val="HG丸ｺﾞｼｯｸM-PRO"/>
      <family val="3"/>
      <charset val="128"/>
    </font>
    <font>
      <u/>
      <sz val="14"/>
      <color theme="1"/>
      <name val="HG丸ｺﾞｼｯｸM-PRO"/>
      <family val="3"/>
      <charset val="128"/>
    </font>
    <font>
      <sz val="7.5"/>
      <color theme="1"/>
      <name val="HG丸ｺﾞｼｯｸM-PRO"/>
      <family val="3"/>
      <charset val="128"/>
    </font>
    <font>
      <vertAlign val="superscript"/>
      <sz val="14"/>
      <color theme="1"/>
      <name val="游ゴシック"/>
      <family val="3"/>
      <charset val="128"/>
      <scheme val="minor"/>
    </font>
  </fonts>
  <fills count="19">
    <fill>
      <patternFill patternType="none"/>
    </fill>
    <fill>
      <patternFill patternType="gray125"/>
    </fill>
    <fill>
      <patternFill patternType="solid">
        <fgColor indexed="8"/>
        <bgColor indexed="64"/>
      </patternFill>
    </fill>
    <fill>
      <patternFill patternType="solid">
        <fgColor theme="8" tint="0.79998168889431442"/>
        <bgColor indexed="64"/>
      </patternFill>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CCFF"/>
        <bgColor indexed="64"/>
      </patternFill>
    </fill>
    <fill>
      <patternFill patternType="solid">
        <fgColor theme="8"/>
        <bgColor indexed="64"/>
      </patternFill>
    </fill>
    <fill>
      <patternFill patternType="solid">
        <fgColor theme="4" tint="0.79998168889431442"/>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1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Dashed">
        <color indexed="64"/>
      </right>
      <top style="thin">
        <color indexed="64"/>
      </top>
      <bottom style="thin">
        <color indexed="64"/>
      </bottom>
      <diagonal/>
    </border>
    <border>
      <left style="thin">
        <color indexed="64"/>
      </left>
      <right style="mediumDashed">
        <color indexed="64"/>
      </right>
      <top style="medium">
        <color indexed="64"/>
      </top>
      <bottom style="double">
        <color indexed="64"/>
      </bottom>
      <diagonal/>
    </border>
    <border>
      <left style="mediumDashed">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diagonal/>
    </border>
    <border>
      <left style="thin">
        <color indexed="64"/>
      </left>
      <right style="mediumDashed">
        <color indexed="64"/>
      </right>
      <top style="thin">
        <color indexed="64"/>
      </top>
      <bottom/>
      <diagonal/>
    </border>
    <border>
      <left style="mediumDashed">
        <color indexed="64"/>
      </left>
      <right style="thin">
        <color indexed="64"/>
      </right>
      <top style="medium">
        <color indexed="64"/>
      </top>
      <bottom style="double">
        <color indexed="64"/>
      </bottom>
      <diagonal/>
    </border>
    <border>
      <left style="double">
        <color indexed="64"/>
      </left>
      <right style="thin">
        <color indexed="64"/>
      </right>
      <top style="thin">
        <color indexed="64"/>
      </top>
      <bottom/>
      <diagonal/>
    </border>
    <border>
      <left style="medium">
        <color auto="1"/>
      </left>
      <right/>
      <top style="double">
        <color auto="1"/>
      </top>
      <bottom/>
      <diagonal/>
    </border>
    <border>
      <left/>
      <right style="medium">
        <color auto="1"/>
      </right>
      <top style="double">
        <color auto="1"/>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medium">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41" fillId="0" borderId="0" applyNumberFormat="0" applyFill="0" applyBorder="0" applyAlignment="0" applyProtection="0">
      <alignment vertical="center"/>
    </xf>
  </cellStyleXfs>
  <cellXfs count="683">
    <xf numFmtId="0" fontId="0" fillId="0" borderId="0" xfId="0">
      <alignment vertical="center"/>
    </xf>
    <xf numFmtId="0" fontId="0" fillId="0" borderId="0" xfId="0" applyAlignment="1">
      <alignment horizontal="center" vertical="center"/>
    </xf>
    <xf numFmtId="0" fontId="8" fillId="0" borderId="0" xfId="2">
      <alignment vertical="center"/>
    </xf>
    <xf numFmtId="0" fontId="8" fillId="2" borderId="0" xfId="2" applyFill="1">
      <alignment vertical="center"/>
    </xf>
    <xf numFmtId="0" fontId="8" fillId="0" borderId="0" xfId="2" applyAlignment="1">
      <alignment vertical="center" shrinkToFit="1"/>
    </xf>
    <xf numFmtId="58" fontId="8" fillId="0" borderId="0" xfId="2" applyNumberFormat="1" applyFont="1">
      <alignment vertical="center"/>
    </xf>
    <xf numFmtId="178" fontId="8" fillId="0" borderId="0" xfId="2" applyNumberFormat="1">
      <alignment vertical="center"/>
    </xf>
    <xf numFmtId="38" fontId="0" fillId="0" borderId="0" xfId="3" applyFont="1">
      <alignment vertical="center"/>
    </xf>
    <xf numFmtId="0" fontId="10" fillId="0" borderId="0" xfId="2" applyFont="1" applyAlignment="1" applyProtection="1">
      <alignment vertical="center"/>
    </xf>
    <xf numFmtId="0" fontId="10" fillId="0" borderId="0" xfId="2" applyFont="1" applyAlignment="1">
      <alignment vertical="center"/>
    </xf>
    <xf numFmtId="0" fontId="8" fillId="0" borderId="0" xfId="2" applyFont="1" applyAlignment="1" applyProtection="1">
      <alignment vertical="center"/>
    </xf>
    <xf numFmtId="0" fontId="8" fillId="0" borderId="0" xfId="2" applyFont="1" applyAlignment="1">
      <alignment vertical="center"/>
    </xf>
    <xf numFmtId="3" fontId="8" fillId="0" borderId="0" xfId="2" applyNumberFormat="1">
      <alignment vertical="center"/>
    </xf>
    <xf numFmtId="38" fontId="8" fillId="0" borderId="0" xfId="3" applyAlignment="1">
      <alignment vertical="center"/>
    </xf>
    <xf numFmtId="38" fontId="0" fillId="0" borderId="0" xfId="3" applyFont="1" applyAlignment="1">
      <alignment vertical="center" shrinkToFit="1"/>
    </xf>
    <xf numFmtId="0" fontId="8" fillId="0" borderId="0" xfId="2" applyFont="1">
      <alignment vertical="center"/>
    </xf>
    <xf numFmtId="178" fontId="8" fillId="0" borderId="0" xfId="2" applyNumberFormat="1" applyFont="1">
      <alignment vertical="center"/>
    </xf>
    <xf numFmtId="0" fontId="8" fillId="2" borderId="0" xfId="2" applyFont="1" applyFill="1">
      <alignment vertical="center"/>
    </xf>
    <xf numFmtId="38" fontId="0" fillId="0" borderId="0" xfId="3" applyFont="1" applyAlignment="1">
      <alignment vertical="center"/>
    </xf>
    <xf numFmtId="0" fontId="8" fillId="0" borderId="0" xfId="2" applyFont="1" applyAlignment="1">
      <alignment vertical="center" shrinkToFit="1"/>
    </xf>
    <xf numFmtId="0" fontId="11" fillId="0" borderId="0" xfId="2" applyFont="1">
      <alignment vertical="center"/>
    </xf>
    <xf numFmtId="179" fontId="11" fillId="0" borderId="0" xfId="3" applyNumberFormat="1" applyFont="1">
      <alignment vertical="center"/>
    </xf>
    <xf numFmtId="38" fontId="11" fillId="0" borderId="0" xfId="3" applyFont="1">
      <alignment vertical="center"/>
    </xf>
    <xf numFmtId="180" fontId="11" fillId="2" borderId="0" xfId="3" applyNumberFormat="1" applyFont="1" applyFill="1">
      <alignment vertical="center"/>
    </xf>
    <xf numFmtId="0" fontId="11" fillId="0" borderId="0" xfId="2" applyFont="1" applyAlignment="1">
      <alignment vertical="center" shrinkToFit="1"/>
    </xf>
    <xf numFmtId="0" fontId="12" fillId="0" borderId="19" xfId="2" applyFont="1" applyBorder="1" applyAlignment="1">
      <alignment horizontal="center" vertical="center"/>
    </xf>
    <xf numFmtId="38" fontId="12" fillId="3" borderId="19" xfId="3" applyFont="1" applyFill="1" applyBorder="1" applyAlignment="1">
      <alignment horizontal="center" vertical="center"/>
    </xf>
    <xf numFmtId="0" fontId="12" fillId="0" borderId="0" xfId="2" applyFont="1" applyAlignment="1">
      <alignment horizontal="center" vertical="center"/>
    </xf>
    <xf numFmtId="0" fontId="12" fillId="0" borderId="33" xfId="2" applyFont="1" applyFill="1" applyBorder="1" applyAlignment="1">
      <alignment horizontal="left" vertical="center"/>
    </xf>
    <xf numFmtId="38" fontId="12" fillId="0" borderId="33" xfId="3" applyFont="1" applyFill="1" applyBorder="1" applyAlignment="1">
      <alignment horizontal="center" vertical="center"/>
    </xf>
    <xf numFmtId="38" fontId="12" fillId="0" borderId="0" xfId="3" applyFont="1" applyFill="1" applyBorder="1" applyAlignment="1">
      <alignment horizontal="center" vertical="center"/>
    </xf>
    <xf numFmtId="0" fontId="12" fillId="0" borderId="0" xfId="2" applyFont="1" applyFill="1" applyBorder="1" applyAlignment="1">
      <alignment horizontal="center" vertical="center"/>
    </xf>
    <xf numFmtId="0" fontId="12" fillId="0" borderId="0" xfId="2" applyFont="1" applyFill="1" applyBorder="1" applyAlignment="1">
      <alignment horizontal="left" vertical="center"/>
    </xf>
    <xf numFmtId="0" fontId="12" fillId="0" borderId="53" xfId="2" applyFont="1" applyFill="1" applyBorder="1" applyAlignment="1">
      <alignment horizontal="left" vertical="center"/>
    </xf>
    <xf numFmtId="38" fontId="12" fillId="0" borderId="53" xfId="3" applyFont="1" applyFill="1" applyBorder="1" applyAlignment="1">
      <alignment horizontal="center" vertical="center"/>
    </xf>
    <xf numFmtId="0" fontId="12" fillId="0" borderId="0" xfId="2" applyFont="1">
      <alignment vertical="center"/>
    </xf>
    <xf numFmtId="0" fontId="12" fillId="0" borderId="56" xfId="2" applyFont="1" applyBorder="1" applyAlignment="1">
      <alignment horizontal="center" vertical="center"/>
    </xf>
    <xf numFmtId="38" fontId="12" fillId="3" borderId="56" xfId="3" applyFont="1" applyFill="1" applyBorder="1">
      <alignment vertical="center"/>
    </xf>
    <xf numFmtId="0" fontId="12" fillId="0" borderId="57" xfId="2" applyFont="1" applyBorder="1" applyAlignment="1">
      <alignment horizontal="center" vertical="center"/>
    </xf>
    <xf numFmtId="38" fontId="12" fillId="3" borderId="57" xfId="3" applyFont="1" applyFill="1" applyBorder="1">
      <alignment vertical="center"/>
    </xf>
    <xf numFmtId="38" fontId="12" fillId="0" borderId="0" xfId="3" applyFont="1" applyFill="1" applyBorder="1">
      <alignment vertical="center"/>
    </xf>
    <xf numFmtId="0" fontId="12" fillId="0" borderId="0" xfId="2" applyFont="1" applyFill="1" applyBorder="1">
      <alignment vertical="center"/>
    </xf>
    <xf numFmtId="0" fontId="12" fillId="0" borderId="0" xfId="2" applyFont="1" applyFill="1">
      <alignment vertical="center"/>
    </xf>
    <xf numFmtId="38" fontId="12" fillId="3" borderId="56" xfId="3" applyFont="1" applyFill="1" applyBorder="1" applyAlignment="1">
      <alignment horizontal="right" vertical="center"/>
    </xf>
    <xf numFmtId="38" fontId="12" fillId="3" borderId="57" xfId="3" applyFont="1" applyFill="1" applyBorder="1" applyAlignment="1">
      <alignment horizontal="right" vertical="center"/>
    </xf>
    <xf numFmtId="38" fontId="12" fillId="0" borderId="0" xfId="3" applyFont="1" applyFill="1" applyBorder="1" applyAlignment="1">
      <alignment horizontal="right" vertical="center"/>
    </xf>
    <xf numFmtId="38" fontId="12" fillId="0" borderId="0" xfId="3" applyFont="1" applyFill="1">
      <alignment vertical="center"/>
    </xf>
    <xf numFmtId="0" fontId="12" fillId="0" borderId="58" xfId="2" applyFont="1" applyBorder="1" applyAlignment="1">
      <alignment horizontal="center" vertical="center" shrinkToFit="1"/>
    </xf>
    <xf numFmtId="38" fontId="12" fillId="0" borderId="58" xfId="3" applyFont="1" applyBorder="1" applyAlignment="1">
      <alignment horizontal="center" vertical="center" shrinkToFit="1"/>
    </xf>
    <xf numFmtId="38" fontId="12" fillId="0" borderId="0" xfId="3" applyFont="1" applyBorder="1" applyAlignment="1">
      <alignment vertical="center" shrinkToFit="1"/>
    </xf>
    <xf numFmtId="0" fontId="12" fillId="0" borderId="0" xfId="2" applyFont="1" applyAlignment="1">
      <alignment vertical="center" shrinkToFit="1"/>
    </xf>
    <xf numFmtId="38" fontId="12" fillId="0" borderId="0" xfId="3" applyFont="1">
      <alignment vertical="center"/>
    </xf>
    <xf numFmtId="57" fontId="8" fillId="0" borderId="0" xfId="2" applyNumberFormat="1" applyFont="1">
      <alignment vertical="center"/>
    </xf>
    <xf numFmtId="57" fontId="8" fillId="0" borderId="0" xfId="2" applyNumberFormat="1">
      <alignment vertical="center"/>
    </xf>
    <xf numFmtId="0" fontId="13" fillId="4" borderId="0" xfId="2" applyFont="1" applyFill="1">
      <alignment vertical="center"/>
    </xf>
    <xf numFmtId="0" fontId="13" fillId="4" borderId="0" xfId="2" applyFont="1" applyFill="1" applyAlignment="1">
      <alignment vertical="center" shrinkToFit="1"/>
    </xf>
    <xf numFmtId="0" fontId="13" fillId="0" borderId="0" xfId="2" applyFont="1">
      <alignment vertical="center"/>
    </xf>
    <xf numFmtId="0" fontId="13" fillId="4" borderId="0" xfId="2" applyFont="1" applyFill="1" applyAlignment="1">
      <alignment horizontal="left" vertical="center"/>
    </xf>
    <xf numFmtId="0" fontId="14" fillId="4" borderId="0" xfId="2" applyFont="1" applyFill="1">
      <alignment vertical="center"/>
    </xf>
    <xf numFmtId="0" fontId="13" fillId="4" borderId="59" xfId="2" applyFont="1" applyFill="1" applyBorder="1" applyAlignment="1">
      <alignment horizontal="center" vertical="center"/>
    </xf>
    <xf numFmtId="0" fontId="13" fillId="4" borderId="60" xfId="2" applyFont="1" applyFill="1" applyBorder="1" applyAlignment="1">
      <alignment horizontal="center" vertical="center" shrinkToFit="1"/>
    </xf>
    <xf numFmtId="0" fontId="13" fillId="4" borderId="59" xfId="2" applyFont="1" applyFill="1" applyBorder="1" applyAlignment="1">
      <alignment horizontal="center" vertical="center" shrinkToFit="1"/>
    </xf>
    <xf numFmtId="181" fontId="13" fillId="4" borderId="0" xfId="2" applyNumberFormat="1" applyFont="1" applyFill="1">
      <alignment vertical="center"/>
    </xf>
    <xf numFmtId="0" fontId="15" fillId="4" borderId="0" xfId="2" applyFont="1" applyFill="1">
      <alignment vertical="center"/>
    </xf>
    <xf numFmtId="0" fontId="16" fillId="4" borderId="61" xfId="2" applyFont="1" applyFill="1" applyBorder="1" applyAlignment="1">
      <alignment horizontal="center" vertical="center"/>
    </xf>
    <xf numFmtId="0" fontId="13" fillId="4" borderId="61" xfId="2" applyFont="1" applyFill="1" applyBorder="1" applyAlignment="1">
      <alignment horizontal="center" vertical="center" shrinkToFit="1"/>
    </xf>
    <xf numFmtId="182" fontId="13" fillId="4" borderId="61" xfId="3" applyNumberFormat="1" applyFont="1" applyFill="1" applyBorder="1" applyAlignment="1">
      <alignment vertical="center" shrinkToFit="1"/>
    </xf>
    <xf numFmtId="183" fontId="13" fillId="4" borderId="61" xfId="3" applyNumberFormat="1" applyFont="1" applyFill="1" applyBorder="1">
      <alignment vertical="center"/>
    </xf>
    <xf numFmtId="0" fontId="13" fillId="4" borderId="63" xfId="2" applyFont="1" applyFill="1" applyBorder="1" applyAlignment="1">
      <alignment horizontal="center" vertical="center"/>
    </xf>
    <xf numFmtId="182" fontId="13" fillId="4" borderId="64" xfId="3" applyNumberFormat="1" applyFont="1" applyFill="1" applyBorder="1">
      <alignment vertical="center"/>
    </xf>
    <xf numFmtId="38" fontId="13" fillId="4" borderId="2" xfId="3" quotePrefix="1" applyFont="1" applyFill="1" applyBorder="1" applyAlignment="1">
      <alignment horizontal="center" vertical="center"/>
    </xf>
    <xf numFmtId="182" fontId="13" fillId="4" borderId="2" xfId="3" applyNumberFormat="1" applyFont="1" applyFill="1" applyBorder="1">
      <alignment vertical="center"/>
    </xf>
    <xf numFmtId="38" fontId="13" fillId="4" borderId="2" xfId="3" applyFont="1" applyFill="1" applyBorder="1" applyAlignment="1">
      <alignment horizontal="center" vertical="center"/>
    </xf>
    <xf numFmtId="184" fontId="13" fillId="4" borderId="2" xfId="3" applyNumberFormat="1" applyFont="1" applyFill="1" applyBorder="1">
      <alignment vertical="center"/>
    </xf>
    <xf numFmtId="38" fontId="13" fillId="4" borderId="2" xfId="3" quotePrefix="1" applyFont="1" applyFill="1" applyBorder="1" applyAlignment="1">
      <alignment horizontal="left" vertical="center"/>
    </xf>
    <xf numFmtId="38" fontId="13" fillId="4" borderId="2" xfId="3" applyFont="1" applyFill="1" applyBorder="1">
      <alignment vertical="center"/>
    </xf>
    <xf numFmtId="38" fontId="13" fillId="4" borderId="2" xfId="3" quotePrefix="1" applyFont="1" applyFill="1" applyBorder="1" applyAlignment="1">
      <alignment horizontal="right" vertical="center"/>
    </xf>
    <xf numFmtId="182" fontId="13" fillId="4" borderId="65" xfId="3" applyNumberFormat="1" applyFont="1" applyFill="1" applyBorder="1">
      <alignment vertical="center"/>
    </xf>
    <xf numFmtId="0" fontId="13" fillId="4" borderId="66" xfId="2" applyFont="1" applyFill="1" applyBorder="1" applyAlignment="1">
      <alignment horizontal="center" vertical="center"/>
    </xf>
    <xf numFmtId="0" fontId="16" fillId="4" borderId="19" xfId="2" applyFont="1" applyFill="1" applyBorder="1" applyAlignment="1">
      <alignment horizontal="center" vertical="center" wrapText="1"/>
    </xf>
    <xf numFmtId="182" fontId="13" fillId="4" borderId="19" xfId="3" applyNumberFormat="1" applyFont="1" applyFill="1" applyBorder="1" applyAlignment="1">
      <alignment vertical="center" shrinkToFit="1"/>
    </xf>
    <xf numFmtId="183" fontId="13" fillId="4" borderId="19" xfId="3" applyNumberFormat="1" applyFont="1" applyFill="1" applyBorder="1">
      <alignment vertical="center"/>
    </xf>
    <xf numFmtId="182" fontId="13" fillId="4" borderId="19" xfId="3" applyNumberFormat="1" applyFont="1" applyFill="1" applyBorder="1">
      <alignment vertical="center"/>
    </xf>
    <xf numFmtId="182" fontId="13" fillId="4" borderId="59" xfId="3" applyNumberFormat="1" applyFont="1" applyFill="1" applyBorder="1" applyAlignment="1">
      <alignment vertical="center" shrinkToFit="1"/>
    </xf>
    <xf numFmtId="0" fontId="13" fillId="4" borderId="0" xfId="2" applyFont="1" applyFill="1" applyAlignment="1">
      <alignment vertical="center"/>
    </xf>
    <xf numFmtId="0" fontId="13" fillId="4" borderId="0" xfId="2" applyFont="1" applyFill="1" applyBorder="1" applyAlignment="1">
      <alignment vertical="center"/>
    </xf>
    <xf numFmtId="182" fontId="13" fillId="6" borderId="55" xfId="2" applyNumberFormat="1" applyFont="1" applyFill="1" applyBorder="1" applyAlignment="1">
      <alignment vertical="center" shrinkToFit="1"/>
    </xf>
    <xf numFmtId="0" fontId="13" fillId="4" borderId="67" xfId="2" applyFont="1" applyFill="1" applyBorder="1" applyAlignment="1">
      <alignment horizontal="center" vertical="center" shrinkToFit="1"/>
    </xf>
    <xf numFmtId="182" fontId="13" fillId="5" borderId="67" xfId="2" applyNumberFormat="1" applyFont="1" applyFill="1" applyBorder="1" applyAlignment="1">
      <alignment vertical="center" shrinkToFit="1"/>
    </xf>
    <xf numFmtId="38" fontId="13" fillId="0" borderId="67" xfId="3" applyFont="1" applyFill="1" applyBorder="1" applyAlignment="1">
      <alignment horizontal="center" vertical="center" shrinkToFit="1"/>
    </xf>
    <xf numFmtId="182" fontId="13" fillId="4" borderId="67" xfId="3" applyNumberFormat="1" applyFont="1" applyFill="1" applyBorder="1" applyAlignment="1">
      <alignment vertical="center" shrinkToFit="1"/>
    </xf>
    <xf numFmtId="182" fontId="13" fillId="4" borderId="0" xfId="3" applyNumberFormat="1" applyFont="1" applyFill="1" applyBorder="1">
      <alignment vertical="center"/>
    </xf>
    <xf numFmtId="182" fontId="13" fillId="4" borderId="0" xfId="2" applyNumberFormat="1" applyFont="1" applyFill="1" applyBorder="1" applyAlignment="1">
      <alignment vertical="center"/>
    </xf>
    <xf numFmtId="182" fontId="13" fillId="5" borderId="61" xfId="2" applyNumberFormat="1" applyFont="1" applyFill="1" applyBorder="1" applyAlignment="1">
      <alignment vertical="center" shrinkToFit="1"/>
    </xf>
    <xf numFmtId="38" fontId="13" fillId="0" borderId="61" xfId="3" applyFont="1" applyFill="1" applyBorder="1" applyAlignment="1">
      <alignment horizontal="center" vertical="center" shrinkToFit="1"/>
    </xf>
    <xf numFmtId="0" fontId="13" fillId="4" borderId="0" xfId="2" applyFont="1" applyFill="1" applyAlignment="1">
      <alignment horizontal="center" vertical="center"/>
    </xf>
    <xf numFmtId="0" fontId="13" fillId="4" borderId="0" xfId="2" applyFont="1" applyFill="1" applyBorder="1" applyAlignment="1">
      <alignment horizontal="center" vertical="center"/>
    </xf>
    <xf numFmtId="0" fontId="15" fillId="4" borderId="0" xfId="2" applyFont="1" applyFill="1" applyBorder="1" applyAlignment="1">
      <alignment horizontal="center" vertical="center" wrapText="1"/>
    </xf>
    <xf numFmtId="0" fontId="13" fillId="4" borderId="68" xfId="2" applyFont="1" applyFill="1" applyBorder="1" applyAlignment="1">
      <alignment horizontal="center" vertical="center" shrinkToFit="1"/>
    </xf>
    <xf numFmtId="182" fontId="13" fillId="5" borderId="68" xfId="2" applyNumberFormat="1" applyFont="1" applyFill="1" applyBorder="1" applyAlignment="1">
      <alignment vertical="center" shrinkToFit="1"/>
    </xf>
    <xf numFmtId="38" fontId="13" fillId="0" borderId="68" xfId="3" applyFont="1" applyFill="1" applyBorder="1" applyAlignment="1">
      <alignment horizontal="center" vertical="center" shrinkToFit="1"/>
    </xf>
    <xf numFmtId="182" fontId="13" fillId="4" borderId="68" xfId="3" applyNumberFormat="1" applyFont="1" applyFill="1" applyBorder="1" applyAlignment="1">
      <alignment vertical="center" shrinkToFit="1"/>
    </xf>
    <xf numFmtId="0" fontId="17" fillId="4" borderId="0" xfId="2" applyFont="1" applyFill="1">
      <alignment vertical="center"/>
    </xf>
    <xf numFmtId="0" fontId="13" fillId="4" borderId="61" xfId="2" applyFont="1" applyFill="1" applyBorder="1" applyAlignment="1">
      <alignment horizontal="center" vertical="center"/>
    </xf>
    <xf numFmtId="182" fontId="13" fillId="0" borderId="61" xfId="2" applyNumberFormat="1" applyFont="1" applyBorder="1" applyAlignment="1">
      <alignment vertical="center" shrinkToFit="1"/>
    </xf>
    <xf numFmtId="184" fontId="13" fillId="4" borderId="61" xfId="2" applyNumberFormat="1" applyFont="1" applyFill="1" applyBorder="1" applyAlignment="1">
      <alignment vertical="center" shrinkToFit="1"/>
    </xf>
    <xf numFmtId="0" fontId="13" fillId="0" borderId="61" xfId="2" applyFont="1" applyBorder="1" applyAlignment="1">
      <alignment horizontal="center" vertical="center" shrinkToFit="1"/>
    </xf>
    <xf numFmtId="182" fontId="13" fillId="4" borderId="61" xfId="2" applyNumberFormat="1" applyFont="1" applyFill="1" applyBorder="1" applyAlignment="1">
      <alignment vertical="center" shrinkToFit="1"/>
    </xf>
    <xf numFmtId="182" fontId="13" fillId="4" borderId="0" xfId="2" applyNumberFormat="1" applyFont="1" applyFill="1" applyBorder="1">
      <alignment vertical="center"/>
    </xf>
    <xf numFmtId="0" fontId="13" fillId="4" borderId="0" xfId="2" applyFont="1" applyFill="1" applyBorder="1" applyAlignment="1">
      <alignment vertical="center" shrinkToFit="1"/>
    </xf>
    <xf numFmtId="38" fontId="13" fillId="4" borderId="0" xfId="2" applyNumberFormat="1" applyFont="1" applyFill="1" applyBorder="1" applyAlignment="1">
      <alignment vertical="center" shrinkToFit="1"/>
    </xf>
    <xf numFmtId="38" fontId="13" fillId="4" borderId="0" xfId="2" applyNumberFormat="1" applyFont="1" applyFill="1" applyBorder="1">
      <alignment vertical="center"/>
    </xf>
    <xf numFmtId="0" fontId="15" fillId="4" borderId="0" xfId="2" applyFont="1" applyFill="1" applyAlignment="1">
      <alignment horizontal="left" vertical="center" indent="2"/>
    </xf>
    <xf numFmtId="0" fontId="13" fillId="4" borderId="0" xfId="2" applyFont="1" applyFill="1" applyBorder="1">
      <alignment vertical="center"/>
    </xf>
    <xf numFmtId="0" fontId="13" fillId="0" borderId="59" xfId="2" applyFont="1" applyBorder="1" applyAlignment="1">
      <alignment horizontal="center" vertical="center" shrinkToFit="1"/>
    </xf>
    <xf numFmtId="0" fontId="18" fillId="4" borderId="59" xfId="2" applyFont="1" applyFill="1" applyBorder="1" applyAlignment="1">
      <alignment horizontal="center" vertical="center" shrinkToFit="1"/>
    </xf>
    <xf numFmtId="38" fontId="13" fillId="0" borderId="67" xfId="3" applyFont="1" applyFill="1" applyBorder="1" applyAlignment="1">
      <alignment horizontal="center" vertical="center"/>
    </xf>
    <xf numFmtId="0" fontId="13" fillId="4" borderId="19" xfId="2" applyFont="1" applyFill="1" applyBorder="1" applyAlignment="1">
      <alignment horizontal="center" vertical="center"/>
    </xf>
    <xf numFmtId="0" fontId="13" fillId="4" borderId="19" xfId="2" applyFont="1" applyFill="1" applyBorder="1" applyAlignment="1">
      <alignment horizontal="center" vertical="center" shrinkToFit="1"/>
    </xf>
    <xf numFmtId="38" fontId="13" fillId="4" borderId="19" xfId="3" applyFont="1" applyFill="1" applyBorder="1" applyAlignment="1">
      <alignment horizontal="center" vertical="center"/>
    </xf>
    <xf numFmtId="0" fontId="13" fillId="4" borderId="58" xfId="2" applyFont="1" applyFill="1" applyBorder="1" applyAlignment="1">
      <alignment horizontal="center" vertical="center"/>
    </xf>
    <xf numFmtId="0" fontId="13" fillId="4" borderId="58" xfId="2" applyFont="1" applyFill="1" applyBorder="1" applyAlignment="1">
      <alignment horizontal="center" vertical="center" shrinkToFit="1"/>
    </xf>
    <xf numFmtId="0" fontId="13" fillId="4" borderId="68" xfId="2" applyFont="1" applyFill="1" applyBorder="1" applyAlignment="1">
      <alignment horizontal="center" vertical="center"/>
    </xf>
    <xf numFmtId="0" fontId="13" fillId="5" borderId="0" xfId="2" applyFont="1" applyFill="1">
      <alignment vertical="center"/>
    </xf>
    <xf numFmtId="0" fontId="13" fillId="0" borderId="0" xfId="2" applyFont="1" applyAlignment="1">
      <alignment vertical="center" shrinkToFit="1"/>
    </xf>
    <xf numFmtId="38" fontId="12" fillId="3" borderId="69" xfId="3" applyFont="1" applyFill="1" applyBorder="1">
      <alignment vertical="center"/>
    </xf>
    <xf numFmtId="0" fontId="12" fillId="0" borderId="58" xfId="2" applyFont="1" applyBorder="1" applyAlignment="1">
      <alignment horizontal="center" vertical="center"/>
    </xf>
    <xf numFmtId="38" fontId="12" fillId="0" borderId="58" xfId="3" applyFont="1" applyBorder="1" applyAlignment="1">
      <alignment horizontal="center" vertical="center"/>
    </xf>
    <xf numFmtId="0" fontId="12" fillId="0" borderId="70" xfId="2" applyFont="1" applyBorder="1" applyAlignment="1">
      <alignment horizontal="center" vertical="center"/>
    </xf>
    <xf numFmtId="38" fontId="12" fillId="3" borderId="70" xfId="3" applyFont="1" applyFill="1" applyBorder="1">
      <alignment vertical="center"/>
    </xf>
    <xf numFmtId="0" fontId="12" fillId="0" borderId="63" xfId="2" applyFont="1" applyBorder="1" applyAlignment="1">
      <alignment horizontal="center" vertical="center"/>
    </xf>
    <xf numFmtId="38" fontId="12" fillId="3" borderId="71" xfId="3" applyFont="1" applyFill="1" applyBorder="1">
      <alignment vertical="center"/>
    </xf>
    <xf numFmtId="38" fontId="12" fillId="3" borderId="66" xfId="3" applyFont="1" applyFill="1" applyBorder="1">
      <alignment vertical="center"/>
    </xf>
    <xf numFmtId="38" fontId="12" fillId="3" borderId="70" xfId="3" applyFont="1" applyFill="1" applyBorder="1" applyAlignment="1">
      <alignment horizontal="right" vertical="center"/>
    </xf>
    <xf numFmtId="38" fontId="12" fillId="3" borderId="72" xfId="3" applyFont="1" applyFill="1" applyBorder="1" applyAlignment="1">
      <alignment horizontal="right" vertical="center"/>
    </xf>
    <xf numFmtId="38" fontId="12" fillId="3" borderId="73" xfId="3" applyFont="1" applyFill="1" applyBorder="1">
      <alignment vertical="center"/>
    </xf>
    <xf numFmtId="38" fontId="12" fillId="3" borderId="61" xfId="3" applyFont="1" applyFill="1" applyBorder="1">
      <alignment vertical="center"/>
    </xf>
    <xf numFmtId="38" fontId="12" fillId="3" borderId="64" xfId="3" applyFont="1" applyFill="1" applyBorder="1">
      <alignment vertical="center"/>
    </xf>
    <xf numFmtId="0" fontId="27" fillId="4" borderId="0" xfId="0" applyFont="1" applyFill="1" applyAlignment="1">
      <alignment horizontal="center" vertical="center"/>
    </xf>
    <xf numFmtId="0" fontId="5" fillId="4" borderId="0" xfId="0" applyFont="1" applyFill="1">
      <alignment vertical="center"/>
    </xf>
    <xf numFmtId="0" fontId="5" fillId="4" borderId="1" xfId="0" applyFont="1" applyFill="1" applyBorder="1">
      <alignment vertical="center"/>
    </xf>
    <xf numFmtId="0" fontId="5" fillId="4" borderId="2" xfId="0" applyFont="1" applyFill="1" applyBorder="1" applyAlignment="1">
      <alignment vertical="center"/>
    </xf>
    <xf numFmtId="0" fontId="5" fillId="4" borderId="3" xfId="0" applyFont="1" applyFill="1" applyBorder="1">
      <alignment vertical="center"/>
    </xf>
    <xf numFmtId="0" fontId="5" fillId="4" borderId="28" xfId="0" applyFont="1" applyFill="1" applyBorder="1" applyAlignment="1">
      <alignment vertical="center"/>
    </xf>
    <xf numFmtId="0" fontId="5" fillId="4" borderId="0" xfId="0" applyFont="1" applyFill="1" applyAlignment="1">
      <alignment vertical="center" shrinkToFit="1"/>
    </xf>
    <xf numFmtId="0" fontId="5" fillId="4" borderId="0" xfId="0" applyFont="1" applyFill="1" applyAlignment="1">
      <alignment horizontal="center" vertical="center" shrinkToFit="1"/>
    </xf>
    <xf numFmtId="184" fontId="5" fillId="4" borderId="0" xfId="0" applyNumberFormat="1" applyFont="1" applyFill="1" applyAlignment="1">
      <alignment horizontal="center" vertical="center" shrinkToFit="1"/>
    </xf>
    <xf numFmtId="38" fontId="5" fillId="4" borderId="0" xfId="1" applyFont="1" applyFill="1" applyAlignment="1">
      <alignment horizontal="center" vertical="center" shrinkToFit="1"/>
    </xf>
    <xf numFmtId="38" fontId="5" fillId="4" borderId="0" xfId="3" applyFont="1" applyFill="1" applyAlignment="1">
      <alignment horizontal="center" vertical="center" shrinkToFit="1"/>
    </xf>
    <xf numFmtId="187" fontId="5" fillId="4" borderId="0" xfId="3" applyNumberFormat="1" applyFont="1" applyFill="1" applyAlignment="1">
      <alignment horizontal="center" vertical="center" shrinkToFit="1"/>
    </xf>
    <xf numFmtId="38" fontId="5" fillId="4" borderId="0" xfId="0" applyNumberFormat="1" applyFont="1" applyFill="1" applyAlignment="1">
      <alignment vertical="center" shrinkToFit="1"/>
    </xf>
    <xf numFmtId="38" fontId="5" fillId="4" borderId="0" xfId="1" applyFont="1" applyFill="1" applyAlignment="1">
      <alignment vertical="center" shrinkToFit="1"/>
    </xf>
    <xf numFmtId="0" fontId="5" fillId="4" borderId="0" xfId="0" applyFont="1" applyFill="1" applyAlignment="1">
      <alignment vertical="center"/>
    </xf>
    <xf numFmtId="0" fontId="5" fillId="4" borderId="0" xfId="0" applyFont="1" applyFill="1" applyBorder="1" applyAlignment="1">
      <alignment vertical="center" wrapText="1"/>
    </xf>
    <xf numFmtId="0" fontId="5" fillId="4" borderId="0" xfId="0" applyFont="1" applyFill="1" applyBorder="1" applyAlignment="1">
      <alignment vertical="center"/>
    </xf>
    <xf numFmtId="0" fontId="5" fillId="4" borderId="4" xfId="0" applyFont="1" applyFill="1" applyBorder="1">
      <alignment vertical="center"/>
    </xf>
    <xf numFmtId="0" fontId="5" fillId="4" borderId="5" xfId="0" applyFont="1" applyFill="1" applyBorder="1">
      <alignment vertical="center"/>
    </xf>
    <xf numFmtId="0" fontId="5" fillId="4" borderId="6" xfId="0" applyFont="1" applyFill="1" applyBorder="1">
      <alignment vertical="center"/>
    </xf>
    <xf numFmtId="0" fontId="5" fillId="4" borderId="7" xfId="0" applyFont="1" applyFill="1" applyBorder="1">
      <alignment vertical="center"/>
    </xf>
    <xf numFmtId="0" fontId="3" fillId="4" borderId="0" xfId="0" applyFont="1" applyFill="1" applyBorder="1">
      <alignment vertical="center"/>
    </xf>
    <xf numFmtId="0" fontId="5" fillId="4" borderId="0" xfId="0" applyFont="1" applyFill="1" applyBorder="1">
      <alignment vertical="center"/>
    </xf>
    <xf numFmtId="0" fontId="5" fillId="4" borderId="8" xfId="0" applyFont="1" applyFill="1" applyBorder="1">
      <alignment vertical="center"/>
    </xf>
    <xf numFmtId="0" fontId="5" fillId="4" borderId="9" xfId="0" applyFont="1" applyFill="1" applyBorder="1">
      <alignment vertical="center"/>
    </xf>
    <xf numFmtId="0" fontId="5" fillId="4" borderId="10" xfId="0" applyFont="1" applyFill="1" applyBorder="1">
      <alignment vertical="center"/>
    </xf>
    <xf numFmtId="0" fontId="5" fillId="4" borderId="11" xfId="0" applyFont="1" applyFill="1" applyBorder="1">
      <alignment vertical="center"/>
    </xf>
    <xf numFmtId="0" fontId="27" fillId="4" borderId="99" xfId="0" applyFont="1" applyFill="1" applyBorder="1" applyAlignment="1">
      <alignment horizontal="center" vertical="center"/>
    </xf>
    <xf numFmtId="0" fontId="27" fillId="4" borderId="75" xfId="0" applyFont="1" applyFill="1" applyBorder="1" applyAlignment="1">
      <alignment horizontal="center" vertical="center"/>
    </xf>
    <xf numFmtId="0" fontId="27" fillId="4" borderId="100" xfId="0" applyFont="1" applyFill="1" applyBorder="1" applyAlignment="1">
      <alignment horizontal="center" vertical="center"/>
    </xf>
    <xf numFmtId="0" fontId="26" fillId="4" borderId="0" xfId="0" applyFont="1" applyFill="1" applyBorder="1">
      <alignment vertical="center"/>
    </xf>
    <xf numFmtId="0" fontId="28" fillId="4" borderId="0" xfId="0" applyFont="1" applyFill="1" applyBorder="1">
      <alignment vertical="center"/>
    </xf>
    <xf numFmtId="0" fontId="7" fillId="4" borderId="0" xfId="0" applyFont="1" applyFill="1" applyBorder="1">
      <alignment vertical="center"/>
    </xf>
    <xf numFmtId="0" fontId="5" fillId="7" borderId="0" xfId="0" applyFont="1" applyFill="1" applyBorder="1">
      <alignment vertical="center"/>
    </xf>
    <xf numFmtId="0" fontId="5" fillId="9" borderId="0" xfId="0" applyFont="1" applyFill="1" applyBorder="1">
      <alignment vertical="center"/>
    </xf>
    <xf numFmtId="0" fontId="5" fillId="3" borderId="0" xfId="0" applyFont="1" applyFill="1" applyBorder="1">
      <alignment vertical="center"/>
    </xf>
    <xf numFmtId="0" fontId="24" fillId="4" borderId="0" xfId="0" applyFont="1" applyFill="1" applyBorder="1">
      <alignment vertical="center"/>
    </xf>
    <xf numFmtId="0" fontId="24" fillId="4" borderId="0" xfId="0" applyFont="1" applyFill="1" applyBorder="1" applyAlignment="1">
      <alignment vertical="center"/>
    </xf>
    <xf numFmtId="0" fontId="24" fillId="4" borderId="0" xfId="0" applyFont="1" applyFill="1" applyBorder="1" applyAlignment="1">
      <alignment vertical="center" shrinkToFit="1"/>
    </xf>
    <xf numFmtId="0" fontId="21" fillId="4" borderId="0" xfId="0" applyFont="1" applyFill="1" applyBorder="1" applyAlignment="1">
      <alignment vertical="center" shrinkToFit="1"/>
    </xf>
    <xf numFmtId="0" fontId="22" fillId="4" borderId="0" xfId="0" applyFont="1" applyFill="1" applyBorder="1" applyAlignment="1">
      <alignment vertical="center" wrapText="1" shrinkToFit="1"/>
    </xf>
    <xf numFmtId="0" fontId="5" fillId="4" borderId="53" xfId="0" applyFont="1" applyFill="1" applyBorder="1">
      <alignment vertical="center"/>
    </xf>
    <xf numFmtId="0" fontId="5" fillId="4" borderId="53" xfId="0" applyFont="1" applyFill="1" applyBorder="1" applyAlignment="1">
      <alignment vertical="center"/>
    </xf>
    <xf numFmtId="0" fontId="5" fillId="4" borderId="53" xfId="0" applyFont="1" applyFill="1" applyBorder="1" applyAlignment="1">
      <alignment vertical="center" wrapText="1" shrinkToFit="1"/>
    </xf>
    <xf numFmtId="0" fontId="5" fillId="4" borderId="0" xfId="0" applyFont="1" applyFill="1" applyBorder="1" applyAlignment="1"/>
    <xf numFmtId="0" fontId="3" fillId="4" borderId="0" xfId="0" applyFont="1" applyFill="1" applyBorder="1" applyAlignment="1">
      <alignment vertical="center"/>
    </xf>
    <xf numFmtId="0" fontId="3" fillId="4" borderId="7" xfId="0" applyFont="1" applyFill="1" applyBorder="1" applyAlignment="1">
      <alignment vertical="center"/>
    </xf>
    <xf numFmtId="0" fontId="3" fillId="4" borderId="8" xfId="0" applyFont="1" applyFill="1" applyBorder="1" applyAlignment="1">
      <alignment vertical="center"/>
    </xf>
    <xf numFmtId="0" fontId="3" fillId="4" borderId="9" xfId="0" applyFont="1" applyFill="1" applyBorder="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3" fillId="4" borderId="5" xfId="0" applyFont="1" applyFill="1" applyBorder="1" applyAlignment="1">
      <alignment vertical="center"/>
    </xf>
    <xf numFmtId="0" fontId="3" fillId="4" borderId="4" xfId="0" applyFont="1" applyFill="1" applyBorder="1" applyAlignment="1">
      <alignment vertical="center"/>
    </xf>
    <xf numFmtId="0" fontId="3" fillId="4" borderId="6" xfId="0" applyFont="1" applyFill="1" applyBorder="1" applyAlignment="1">
      <alignment vertical="center"/>
    </xf>
    <xf numFmtId="0" fontId="30" fillId="4" borderId="7" xfId="0" applyFont="1" applyFill="1" applyBorder="1">
      <alignment vertical="center"/>
    </xf>
    <xf numFmtId="0" fontId="31" fillId="4" borderId="9" xfId="0" applyFont="1" applyFill="1" applyBorder="1">
      <alignment vertical="center"/>
    </xf>
    <xf numFmtId="0" fontId="31" fillId="4" borderId="10" xfId="0" applyFont="1" applyFill="1" applyBorder="1">
      <alignment vertical="center"/>
    </xf>
    <xf numFmtId="0" fontId="31" fillId="4" borderId="0" xfId="0" applyFont="1" applyFill="1" applyBorder="1">
      <alignment vertical="center"/>
    </xf>
    <xf numFmtId="0" fontId="32" fillId="4" borderId="7" xfId="0" applyFont="1" applyFill="1" applyBorder="1" applyAlignment="1">
      <alignment vertical="center"/>
    </xf>
    <xf numFmtId="0" fontId="32" fillId="4" borderId="0" xfId="0" applyFont="1" applyFill="1" applyBorder="1">
      <alignment vertical="center"/>
    </xf>
    <xf numFmtId="0" fontId="32" fillId="4" borderId="7" xfId="0" applyFont="1" applyFill="1" applyBorder="1">
      <alignment vertical="center"/>
    </xf>
    <xf numFmtId="0" fontId="37" fillId="4" borderId="0" xfId="0" applyFont="1" applyFill="1" applyBorder="1" applyAlignment="1">
      <alignment vertical="center"/>
    </xf>
    <xf numFmtId="0" fontId="3" fillId="13" borderId="0" xfId="0" applyFont="1" applyFill="1" applyBorder="1" applyAlignment="1">
      <alignment vertical="center"/>
    </xf>
    <xf numFmtId="0" fontId="4" fillId="4" borderId="0" xfId="0" applyFont="1" applyFill="1">
      <alignment vertical="center"/>
    </xf>
    <xf numFmtId="182" fontId="13" fillId="0" borderId="62" xfId="3" applyNumberFormat="1" applyFont="1" applyFill="1" applyBorder="1" applyAlignment="1">
      <alignment vertical="center" shrinkToFit="1"/>
    </xf>
    <xf numFmtId="0" fontId="13" fillId="0" borderId="61" xfId="2" applyFont="1" applyFill="1" applyBorder="1" applyAlignment="1">
      <alignment horizontal="center" vertical="center" shrinkToFit="1"/>
    </xf>
    <xf numFmtId="182" fontId="13" fillId="0" borderId="102" xfId="3" applyNumberFormat="1" applyFont="1" applyFill="1" applyBorder="1" applyAlignment="1">
      <alignment vertical="center" shrinkToFit="1"/>
    </xf>
    <xf numFmtId="184" fontId="13" fillId="0" borderId="19" xfId="2" applyNumberFormat="1" applyFont="1" applyFill="1" applyBorder="1" applyAlignment="1">
      <alignment vertical="center" shrinkToFit="1"/>
    </xf>
    <xf numFmtId="182" fontId="13" fillId="0" borderId="102" xfId="2" applyNumberFormat="1" applyFont="1" applyFill="1" applyBorder="1" applyAlignment="1">
      <alignment vertical="center" shrinkToFit="1"/>
    </xf>
    <xf numFmtId="182" fontId="13" fillId="0" borderId="101" xfId="2" applyNumberFormat="1" applyFont="1" applyFill="1" applyBorder="1" applyAlignment="1">
      <alignment vertical="center" shrinkToFit="1"/>
    </xf>
    <xf numFmtId="184" fontId="13" fillId="0" borderId="59" xfId="2" applyNumberFormat="1" applyFont="1" applyFill="1" applyBorder="1" applyAlignment="1">
      <alignment vertical="center" shrinkToFit="1"/>
    </xf>
    <xf numFmtId="182" fontId="13" fillId="0" borderId="101" xfId="3" applyNumberFormat="1" applyFont="1" applyFill="1" applyBorder="1" applyAlignment="1">
      <alignment vertical="center" shrinkToFit="1"/>
    </xf>
    <xf numFmtId="0" fontId="5" fillId="4" borderId="19" xfId="0" applyFont="1" applyFill="1" applyBorder="1" applyAlignment="1">
      <alignment horizontal="center" vertical="center"/>
    </xf>
    <xf numFmtId="0" fontId="40" fillId="4" borderId="4" xfId="0" applyFont="1" applyFill="1" applyBorder="1" applyAlignment="1">
      <alignment horizontal="center" vertical="center"/>
    </xf>
    <xf numFmtId="0" fontId="40" fillId="4" borderId="5" xfId="0" applyFont="1" applyFill="1" applyBorder="1" applyAlignment="1">
      <alignment horizontal="center" vertical="center"/>
    </xf>
    <xf numFmtId="0" fontId="40" fillId="4" borderId="6" xfId="0" applyFont="1" applyFill="1" applyBorder="1" applyAlignment="1">
      <alignment horizontal="center" vertical="center"/>
    </xf>
    <xf numFmtId="0" fontId="41" fillId="4" borderId="0" xfId="4" applyFill="1" applyBorder="1">
      <alignment vertical="center"/>
    </xf>
    <xf numFmtId="0" fontId="41" fillId="4" borderId="0" xfId="4" applyFill="1" applyBorder="1" applyAlignment="1">
      <alignment vertical="center"/>
    </xf>
    <xf numFmtId="0" fontId="5" fillId="4" borderId="0" xfId="0" applyFont="1" applyFill="1" applyAlignment="1" applyProtection="1">
      <alignment vertical="center" shrinkToFit="1"/>
      <protection locked="0"/>
    </xf>
    <xf numFmtId="0" fontId="5" fillId="4" borderId="33" xfId="0" applyFont="1" applyFill="1" applyBorder="1" applyAlignment="1" applyProtection="1">
      <alignment vertical="center" shrinkToFit="1"/>
      <protection locked="0"/>
    </xf>
    <xf numFmtId="0" fontId="5" fillId="4" borderId="0" xfId="0" applyFont="1" applyFill="1" applyProtection="1">
      <alignment vertical="center"/>
      <protection locked="0"/>
    </xf>
    <xf numFmtId="0" fontId="5" fillId="4" borderId="33" xfId="0" applyFont="1" applyFill="1" applyBorder="1" applyAlignment="1" applyProtection="1">
      <alignment vertical="center"/>
      <protection locked="0"/>
    </xf>
    <xf numFmtId="0" fontId="5" fillId="4" borderId="19" xfId="0" applyFont="1" applyFill="1" applyBorder="1" applyAlignment="1">
      <alignment vertical="center" shrinkToFit="1"/>
    </xf>
    <xf numFmtId="0" fontId="0" fillId="17" borderId="0" xfId="0" applyFill="1">
      <alignment vertical="center"/>
    </xf>
    <xf numFmtId="0" fontId="0" fillId="9" borderId="0" xfId="0" applyFill="1">
      <alignment vertical="center"/>
    </xf>
    <xf numFmtId="0" fontId="0" fillId="3" borderId="0" xfId="0" applyFill="1">
      <alignment vertical="center"/>
    </xf>
    <xf numFmtId="0" fontId="0" fillId="15" borderId="0" xfId="0" applyFill="1">
      <alignment vertical="center"/>
    </xf>
    <xf numFmtId="0" fontId="0" fillId="7" borderId="0" xfId="0" applyFill="1">
      <alignment vertical="center"/>
    </xf>
    <xf numFmtId="0" fontId="39" fillId="0" borderId="0" xfId="0" applyFont="1">
      <alignment vertical="center"/>
    </xf>
    <xf numFmtId="0" fontId="24" fillId="4" borderId="7" xfId="0" applyFont="1" applyFill="1" applyBorder="1" applyAlignment="1">
      <alignment horizontal="center" vertical="center"/>
    </xf>
    <xf numFmtId="0" fontId="26" fillId="4" borderId="7" xfId="0" applyFont="1" applyFill="1" applyBorder="1" applyAlignment="1">
      <alignment horizontal="center" vertical="center"/>
    </xf>
    <xf numFmtId="0" fontId="0" fillId="0" borderId="0" xfId="0" applyFill="1">
      <alignment vertical="center"/>
    </xf>
    <xf numFmtId="0" fontId="5" fillId="4" borderId="19" xfId="0" applyFont="1" applyFill="1" applyBorder="1" applyAlignment="1">
      <alignment horizontal="center" vertical="center"/>
    </xf>
    <xf numFmtId="177" fontId="12" fillId="0" borderId="63" xfId="2" applyNumberFormat="1" applyFont="1" applyBorder="1" applyAlignment="1">
      <alignment horizontal="center" vertical="center" shrinkToFit="1"/>
    </xf>
    <xf numFmtId="177" fontId="12" fillId="0" borderId="70" xfId="2" applyNumberFormat="1" applyFont="1" applyBorder="1" applyAlignment="1">
      <alignment horizontal="center" vertical="center" shrinkToFit="1"/>
    </xf>
    <xf numFmtId="177" fontId="12" fillId="0" borderId="57" xfId="2" applyNumberFormat="1" applyFont="1" applyBorder="1" applyAlignment="1">
      <alignment horizontal="center" vertical="center" shrinkToFit="1"/>
    </xf>
    <xf numFmtId="38" fontId="12" fillId="0" borderId="19" xfId="3" applyFont="1" applyBorder="1" applyAlignment="1">
      <alignment horizontal="center" vertical="center"/>
    </xf>
    <xf numFmtId="177" fontId="12" fillId="0" borderId="19" xfId="2" applyNumberFormat="1" applyFont="1" applyBorder="1" applyAlignment="1">
      <alignment horizontal="center" vertical="center"/>
    </xf>
    <xf numFmtId="0" fontId="32" fillId="4" borderId="0" xfId="0" applyFont="1" applyFill="1">
      <alignment vertical="center"/>
    </xf>
    <xf numFmtId="0" fontId="31" fillId="4" borderId="5" xfId="0" applyFont="1" applyFill="1" applyBorder="1">
      <alignment vertical="center"/>
    </xf>
    <xf numFmtId="0" fontId="27" fillId="4" borderId="0" xfId="0" applyFont="1" applyFill="1" applyBorder="1" applyAlignment="1">
      <alignment vertical="center"/>
    </xf>
    <xf numFmtId="0" fontId="12" fillId="0" borderId="0" xfId="2" applyFont="1" applyAlignment="1">
      <alignment vertical="center"/>
    </xf>
    <xf numFmtId="0" fontId="27" fillId="4" borderId="0" xfId="0" applyFont="1" applyFill="1" applyAlignment="1" applyProtection="1">
      <alignment horizontal="center" vertical="center"/>
      <protection locked="0"/>
    </xf>
    <xf numFmtId="38" fontId="8" fillId="0" borderId="0" xfId="1" applyFont="1">
      <alignment vertical="center"/>
    </xf>
    <xf numFmtId="38" fontId="11" fillId="0" borderId="0" xfId="1" applyFont="1">
      <alignment vertical="center"/>
    </xf>
    <xf numFmtId="0" fontId="5" fillId="0" borderId="0" xfId="0" applyFont="1" applyFill="1" applyProtection="1">
      <alignment vertical="center"/>
      <protection locked="0"/>
    </xf>
    <xf numFmtId="0" fontId="27" fillId="0" borderId="0" xfId="0" applyFont="1" applyFill="1" applyAlignment="1" applyProtection="1">
      <alignment horizontal="center" vertical="center"/>
      <protection locked="0"/>
    </xf>
    <xf numFmtId="0" fontId="44" fillId="4" borderId="0" xfId="0" applyFont="1" applyFill="1" applyBorder="1">
      <alignment vertical="center"/>
    </xf>
    <xf numFmtId="0" fontId="5" fillId="4" borderId="19" xfId="0" applyFont="1" applyFill="1" applyBorder="1" applyAlignment="1">
      <alignment horizontal="center" vertical="center"/>
    </xf>
    <xf numFmtId="0" fontId="5" fillId="4" borderId="0" xfId="0" applyFont="1" applyFill="1" applyAlignment="1">
      <alignment vertical="center" shrinkToFit="1"/>
    </xf>
    <xf numFmtId="0" fontId="12" fillId="0" borderId="0" xfId="2" applyFont="1" applyAlignment="1">
      <alignment horizontal="left" vertical="center"/>
    </xf>
    <xf numFmtId="0" fontId="21" fillId="4" borderId="0" xfId="0" applyFont="1" applyFill="1" applyBorder="1" applyAlignment="1">
      <alignment horizontal="left" vertical="center" wrapText="1"/>
    </xf>
    <xf numFmtId="0" fontId="21" fillId="4" borderId="8" xfId="0" applyFont="1" applyFill="1" applyBorder="1" applyAlignment="1">
      <alignment horizontal="left" vertical="center" wrapText="1"/>
    </xf>
    <xf numFmtId="0" fontId="5" fillId="4" borderId="19" xfId="0" applyFont="1" applyFill="1" applyBorder="1" applyAlignment="1">
      <alignment horizontal="center" vertical="center"/>
    </xf>
    <xf numFmtId="0" fontId="5" fillId="0" borderId="0" xfId="0" applyFont="1" applyFill="1" applyProtection="1">
      <alignment vertical="center"/>
    </xf>
    <xf numFmtId="0" fontId="5" fillId="4" borderId="0" xfId="0" applyFont="1" applyFill="1" applyProtection="1">
      <alignment vertical="center"/>
    </xf>
    <xf numFmtId="0" fontId="5" fillId="4" borderId="19" xfId="0" applyFont="1" applyFill="1" applyBorder="1">
      <alignment vertical="center"/>
    </xf>
    <xf numFmtId="177" fontId="5" fillId="4" borderId="19" xfId="0" applyNumberFormat="1" applyFont="1" applyFill="1" applyBorder="1" applyAlignment="1">
      <alignment vertical="center" shrinkToFit="1"/>
    </xf>
    <xf numFmtId="190" fontId="5" fillId="4" borderId="19" xfId="0" applyNumberFormat="1" applyFont="1" applyFill="1" applyBorder="1" applyAlignment="1">
      <alignment horizontal="center" vertical="center" shrinkToFit="1"/>
    </xf>
    <xf numFmtId="14" fontId="5" fillId="4" borderId="19" xfId="0" applyNumberFormat="1" applyFont="1" applyFill="1" applyBorder="1" applyAlignment="1">
      <alignment vertical="center" shrinkToFit="1"/>
    </xf>
    <xf numFmtId="0" fontId="5" fillId="4" borderId="19" xfId="0" applyNumberFormat="1" applyFont="1" applyFill="1" applyBorder="1" applyAlignment="1">
      <alignment vertical="center" shrinkToFit="1"/>
    </xf>
    <xf numFmtId="190" fontId="5" fillId="4" borderId="19" xfId="0" applyNumberFormat="1" applyFont="1" applyFill="1" applyBorder="1" applyAlignment="1">
      <alignment vertical="center" shrinkToFit="1"/>
    </xf>
    <xf numFmtId="189" fontId="5" fillId="4" borderId="36" xfId="0" applyNumberFormat="1" applyFont="1" applyFill="1" applyBorder="1" applyAlignment="1">
      <alignment horizontal="center" vertical="center" shrinkToFit="1"/>
    </xf>
    <xf numFmtId="177" fontId="5" fillId="4" borderId="18" xfId="0" applyNumberFormat="1" applyFont="1" applyFill="1" applyBorder="1" applyAlignment="1">
      <alignment vertical="center" shrinkToFit="1"/>
    </xf>
    <xf numFmtId="0" fontId="5" fillId="4" borderId="20" xfId="0" applyNumberFormat="1" applyFont="1" applyFill="1" applyBorder="1" applyAlignment="1">
      <alignment vertical="center" shrinkToFit="1"/>
    </xf>
    <xf numFmtId="177" fontId="5" fillId="4" borderId="21" xfId="0" applyNumberFormat="1" applyFont="1" applyFill="1" applyBorder="1" applyAlignment="1">
      <alignment vertical="center" shrinkToFit="1"/>
    </xf>
    <xf numFmtId="0" fontId="5" fillId="4" borderId="23" xfId="0" applyNumberFormat="1" applyFont="1" applyFill="1" applyBorder="1" applyAlignment="1">
      <alignment vertical="center" shrinkToFit="1"/>
    </xf>
    <xf numFmtId="177" fontId="5" fillId="4" borderId="15" xfId="0" applyNumberFormat="1" applyFont="1" applyFill="1" applyBorder="1" applyAlignment="1">
      <alignment vertical="center" shrinkToFit="1"/>
    </xf>
    <xf numFmtId="0" fontId="5" fillId="4" borderId="17" xfId="0" applyNumberFormat="1" applyFont="1" applyFill="1" applyBorder="1" applyAlignment="1">
      <alignment vertical="center" shrinkToFit="1"/>
    </xf>
    <xf numFmtId="0" fontId="5" fillId="18" borderId="19" xfId="0" applyFont="1" applyFill="1" applyBorder="1" applyAlignment="1">
      <alignment horizontal="center" vertical="center"/>
    </xf>
    <xf numFmtId="177" fontId="5" fillId="18" borderId="19" xfId="0" applyNumberFormat="1" applyFont="1" applyFill="1" applyBorder="1" applyAlignment="1">
      <alignment vertical="center" shrinkToFit="1"/>
    </xf>
    <xf numFmtId="190" fontId="5" fillId="18" borderId="19" xfId="0" applyNumberFormat="1" applyFont="1" applyFill="1" applyBorder="1" applyAlignment="1">
      <alignment horizontal="center" vertical="center" shrinkToFit="1"/>
    </xf>
    <xf numFmtId="0" fontId="5" fillId="18" borderId="19" xfId="0" applyFont="1" applyFill="1" applyBorder="1">
      <alignment vertical="center"/>
    </xf>
    <xf numFmtId="14" fontId="5" fillId="18" borderId="19" xfId="0" applyNumberFormat="1" applyFont="1" applyFill="1" applyBorder="1" applyAlignment="1">
      <alignment vertical="center" shrinkToFit="1"/>
    </xf>
    <xf numFmtId="0" fontId="5" fillId="18" borderId="19" xfId="0" applyNumberFormat="1" applyFont="1" applyFill="1" applyBorder="1" applyAlignment="1">
      <alignment vertical="center" shrinkToFit="1"/>
    </xf>
    <xf numFmtId="177" fontId="5" fillId="18" borderId="15" xfId="0" applyNumberFormat="1" applyFont="1" applyFill="1" applyBorder="1" applyAlignment="1">
      <alignment vertical="center" shrinkToFit="1"/>
    </xf>
    <xf numFmtId="0" fontId="5" fillId="18" borderId="17" xfId="0" applyNumberFormat="1" applyFont="1" applyFill="1" applyBorder="1" applyAlignment="1">
      <alignment vertical="center" shrinkToFit="1"/>
    </xf>
    <xf numFmtId="189" fontId="5" fillId="18" borderId="36" xfId="0" applyNumberFormat="1" applyFont="1" applyFill="1" applyBorder="1" applyAlignment="1">
      <alignment horizontal="center" vertical="center" shrinkToFit="1"/>
    </xf>
    <xf numFmtId="0" fontId="5" fillId="18" borderId="19" xfId="0" applyFont="1" applyFill="1" applyBorder="1" applyAlignment="1">
      <alignment vertical="center" shrinkToFit="1"/>
    </xf>
    <xf numFmtId="177" fontId="5" fillId="18" borderId="18" xfId="0" applyNumberFormat="1" applyFont="1" applyFill="1" applyBorder="1" applyAlignment="1">
      <alignment vertical="center" shrinkToFit="1"/>
    </xf>
    <xf numFmtId="0" fontId="5" fillId="18" borderId="20" xfId="0" applyNumberFormat="1" applyFont="1" applyFill="1" applyBorder="1" applyAlignment="1">
      <alignment vertical="center" shrinkToFit="1"/>
    </xf>
    <xf numFmtId="177" fontId="5" fillId="18" borderId="21" xfId="0" applyNumberFormat="1" applyFont="1" applyFill="1" applyBorder="1" applyAlignment="1">
      <alignment vertical="center" shrinkToFit="1"/>
    </xf>
    <xf numFmtId="0" fontId="5" fillId="18" borderId="23" xfId="0" applyNumberFormat="1" applyFont="1" applyFill="1" applyBorder="1" applyAlignment="1">
      <alignment vertical="center" shrinkToFit="1"/>
    </xf>
    <xf numFmtId="0" fontId="5" fillId="18" borderId="62" xfId="0" applyFont="1" applyFill="1" applyBorder="1" applyAlignment="1">
      <alignment horizontal="center" vertical="center"/>
    </xf>
    <xf numFmtId="190" fontId="5" fillId="18" borderId="19" xfId="0" applyNumberFormat="1" applyFont="1" applyFill="1" applyBorder="1" applyAlignment="1">
      <alignment vertical="center" shrinkToFit="1"/>
    </xf>
    <xf numFmtId="0" fontId="5" fillId="18" borderId="36" xfId="0" applyFont="1" applyFill="1" applyBorder="1" applyAlignment="1">
      <alignment horizontal="center" vertical="center"/>
    </xf>
    <xf numFmtId="191" fontId="5" fillId="4" borderId="0" xfId="0" applyNumberFormat="1" applyFont="1" applyFill="1" applyAlignment="1">
      <alignment vertical="center" shrinkToFit="1"/>
    </xf>
    <xf numFmtId="0" fontId="5" fillId="4" borderId="10" xfId="0" applyFont="1" applyFill="1" applyBorder="1" applyAlignment="1">
      <alignment vertical="center"/>
    </xf>
    <xf numFmtId="0" fontId="5" fillId="4" borderId="19" xfId="0" applyFont="1" applyFill="1" applyBorder="1" applyAlignment="1">
      <alignment horizontal="center" vertical="center"/>
    </xf>
    <xf numFmtId="0" fontId="5" fillId="18" borderId="36" xfId="0" applyFont="1" applyFill="1" applyBorder="1" applyAlignment="1">
      <alignment horizontal="center" vertical="center"/>
    </xf>
    <xf numFmtId="0" fontId="5" fillId="18" borderId="62" xfId="0" applyFont="1" applyFill="1" applyBorder="1" applyAlignment="1">
      <alignment horizontal="center" vertical="center"/>
    </xf>
    <xf numFmtId="182" fontId="13" fillId="0" borderId="67" xfId="3" applyNumberFormat="1" applyFont="1" applyFill="1" applyBorder="1" applyAlignment="1">
      <alignment vertical="center" shrinkToFit="1"/>
    </xf>
    <xf numFmtId="182" fontId="13" fillId="0" borderId="19" xfId="3" applyNumberFormat="1" applyFont="1" applyFill="1" applyBorder="1" applyAlignment="1">
      <alignment vertical="center" shrinkToFit="1"/>
    </xf>
    <xf numFmtId="182" fontId="13" fillId="0" borderId="59" xfId="3" applyNumberFormat="1" applyFont="1" applyFill="1" applyBorder="1" applyAlignment="1">
      <alignment vertical="center" shrinkToFit="1"/>
    </xf>
    <xf numFmtId="0" fontId="5" fillId="18" borderId="114" xfId="0" applyNumberFormat="1" applyFont="1" applyFill="1" applyBorder="1" applyAlignment="1">
      <alignment vertical="center" shrinkToFit="1"/>
    </xf>
    <xf numFmtId="0" fontId="5" fillId="18" borderId="38" xfId="0" applyNumberFormat="1" applyFont="1" applyFill="1" applyBorder="1" applyAlignment="1">
      <alignment vertical="center" shrinkToFit="1"/>
    </xf>
    <xf numFmtId="0" fontId="5" fillId="18" borderId="41" xfId="0" applyNumberFormat="1" applyFont="1" applyFill="1" applyBorder="1" applyAlignment="1">
      <alignment vertical="center" shrinkToFit="1"/>
    </xf>
    <xf numFmtId="177" fontId="5" fillId="18" borderId="17" xfId="0" applyNumberFormat="1" applyFont="1" applyFill="1" applyBorder="1" applyAlignment="1">
      <alignment vertical="center" shrinkToFit="1"/>
    </xf>
    <xf numFmtId="177" fontId="5" fillId="18" borderId="20" xfId="0" applyNumberFormat="1" applyFont="1" applyFill="1" applyBorder="1" applyAlignment="1">
      <alignment vertical="center" shrinkToFit="1"/>
    </xf>
    <xf numFmtId="177" fontId="5" fillId="18" borderId="23" xfId="0" applyNumberFormat="1" applyFont="1" applyFill="1" applyBorder="1" applyAlignment="1">
      <alignment vertical="center" shrinkToFit="1"/>
    </xf>
    <xf numFmtId="184" fontId="5" fillId="4" borderId="5" xfId="0" applyNumberFormat="1" applyFont="1" applyFill="1" applyBorder="1" applyAlignment="1">
      <alignment vertical="center" shrinkToFit="1"/>
    </xf>
    <xf numFmtId="177" fontId="5" fillId="4" borderId="16" xfId="0" applyNumberFormat="1" applyFont="1" applyFill="1" applyBorder="1" applyAlignment="1">
      <alignment vertical="center" shrinkToFit="1"/>
    </xf>
    <xf numFmtId="177" fontId="5" fillId="4" borderId="22" xfId="0" applyNumberFormat="1" applyFont="1" applyFill="1" applyBorder="1" applyAlignment="1">
      <alignment vertical="center" shrinkToFit="1"/>
    </xf>
    <xf numFmtId="0" fontId="5" fillId="18" borderId="38" xfId="0" applyFont="1" applyFill="1" applyBorder="1" applyAlignment="1">
      <alignment horizontal="center" vertical="center"/>
    </xf>
    <xf numFmtId="0" fontId="5" fillId="18" borderId="36" xfId="0" applyFont="1" applyFill="1" applyBorder="1" applyAlignment="1">
      <alignment horizontal="center" vertical="center"/>
    </xf>
    <xf numFmtId="187" fontId="5" fillId="18" borderId="38" xfId="1" applyNumberFormat="1" applyFont="1" applyFill="1" applyBorder="1" applyAlignment="1">
      <alignment horizontal="center" vertical="center" shrinkToFit="1"/>
    </xf>
    <xf numFmtId="187" fontId="5" fillId="18" borderId="28" xfId="1" applyNumberFormat="1" applyFont="1" applyFill="1" applyBorder="1" applyAlignment="1">
      <alignment horizontal="center" vertical="center" shrinkToFit="1"/>
    </xf>
    <xf numFmtId="187" fontId="5" fillId="18" borderId="36" xfId="1" applyNumberFormat="1" applyFont="1" applyFill="1" applyBorder="1" applyAlignment="1">
      <alignment horizontal="center" vertical="center" shrinkToFit="1"/>
    </xf>
    <xf numFmtId="0" fontId="5" fillId="18" borderId="19" xfId="0" applyFont="1" applyFill="1" applyBorder="1" applyAlignment="1">
      <alignment horizontal="center" vertical="center"/>
    </xf>
    <xf numFmtId="0" fontId="5" fillId="18" borderId="58" xfId="0" applyFont="1" applyFill="1" applyBorder="1" applyAlignment="1">
      <alignment horizontal="center" vertical="center"/>
    </xf>
    <xf numFmtId="0" fontId="5" fillId="18" borderId="105" xfId="0" applyFont="1" applyFill="1" applyBorder="1" applyAlignment="1">
      <alignment horizontal="center" vertical="center"/>
    </xf>
    <xf numFmtId="0" fontId="5" fillId="18" borderId="61" xfId="0" applyFont="1" applyFill="1" applyBorder="1" applyAlignment="1">
      <alignment horizontal="center" vertical="center"/>
    </xf>
    <xf numFmtId="177" fontId="5" fillId="18" borderId="19" xfId="0" applyNumberFormat="1" applyFont="1" applyFill="1" applyBorder="1" applyAlignment="1">
      <alignment horizontal="center" vertical="center" shrinkToFit="1"/>
    </xf>
    <xf numFmtId="0" fontId="5" fillId="18" borderId="41" xfId="0" applyFont="1" applyFill="1" applyBorder="1" applyAlignment="1">
      <alignment horizontal="center" vertical="center"/>
    </xf>
    <xf numFmtId="0" fontId="5" fillId="18" borderId="31" xfId="0" applyFont="1" applyFill="1" applyBorder="1" applyAlignment="1">
      <alignment horizontal="center" vertical="center"/>
    </xf>
    <xf numFmtId="0" fontId="5" fillId="18" borderId="104" xfId="0" applyFont="1" applyFill="1" applyBorder="1" applyAlignment="1">
      <alignment horizontal="center" vertical="center"/>
    </xf>
    <xf numFmtId="0" fontId="5" fillId="18" borderId="62" xfId="0" applyFont="1" applyFill="1" applyBorder="1" applyAlignment="1">
      <alignment horizontal="center" vertical="center"/>
    </xf>
    <xf numFmtId="186" fontId="5" fillId="18" borderId="38" xfId="1" applyNumberFormat="1" applyFont="1" applyFill="1" applyBorder="1" applyAlignment="1">
      <alignment horizontal="center" vertical="center" shrinkToFit="1"/>
    </xf>
    <xf numFmtId="186" fontId="5" fillId="18" borderId="28" xfId="1" applyNumberFormat="1" applyFont="1" applyFill="1" applyBorder="1" applyAlignment="1">
      <alignment horizontal="center" vertical="center" shrinkToFit="1"/>
    </xf>
    <xf numFmtId="186" fontId="5" fillId="18" borderId="36" xfId="1" applyNumberFormat="1" applyFont="1" applyFill="1" applyBorder="1" applyAlignment="1">
      <alignment horizontal="center" vertical="center" shrinkToFit="1"/>
    </xf>
    <xf numFmtId="0" fontId="5" fillId="18" borderId="28" xfId="0" applyFont="1" applyFill="1" applyBorder="1" applyAlignment="1">
      <alignment horizontal="center" vertical="center"/>
    </xf>
    <xf numFmtId="177" fontId="5" fillId="18" borderId="38" xfId="0" applyNumberFormat="1" applyFont="1" applyFill="1" applyBorder="1" applyAlignment="1">
      <alignment horizontal="center" vertical="center" shrinkToFit="1"/>
    </xf>
    <xf numFmtId="177" fontId="5" fillId="18" borderId="28" xfId="0" applyNumberFormat="1" applyFont="1" applyFill="1" applyBorder="1" applyAlignment="1">
      <alignment horizontal="center" vertical="center" shrinkToFit="1"/>
    </xf>
    <xf numFmtId="177" fontId="5" fillId="18" borderId="36" xfId="0" applyNumberFormat="1" applyFont="1" applyFill="1" applyBorder="1" applyAlignment="1">
      <alignment horizontal="center" vertical="center" shrinkToFit="1"/>
    </xf>
    <xf numFmtId="177" fontId="5" fillId="18" borderId="41" xfId="0" applyNumberFormat="1" applyFont="1" applyFill="1" applyBorder="1" applyAlignment="1">
      <alignment horizontal="center" vertical="center"/>
    </xf>
    <xf numFmtId="177" fontId="5" fillId="18" borderId="31" xfId="0" applyNumberFormat="1" applyFont="1" applyFill="1" applyBorder="1" applyAlignment="1">
      <alignment horizontal="center" vertical="center"/>
    </xf>
    <xf numFmtId="177" fontId="5" fillId="18" borderId="42" xfId="0" applyNumberFormat="1" applyFont="1" applyFill="1" applyBorder="1" applyAlignment="1">
      <alignment horizontal="center" vertical="center"/>
    </xf>
    <xf numFmtId="187" fontId="5" fillId="4" borderId="38" xfId="1" applyNumberFormat="1" applyFont="1" applyFill="1" applyBorder="1" applyAlignment="1">
      <alignment horizontal="center" vertical="center" shrinkToFit="1"/>
    </xf>
    <xf numFmtId="187" fontId="5" fillId="4" borderId="28" xfId="1" applyNumberFormat="1" applyFont="1" applyFill="1" applyBorder="1" applyAlignment="1">
      <alignment horizontal="center" vertical="center" shrinkToFit="1"/>
    </xf>
    <xf numFmtId="187" fontId="5" fillId="4" borderId="36" xfId="1" applyNumberFormat="1" applyFont="1" applyFill="1" applyBorder="1" applyAlignment="1">
      <alignment horizontal="center" vertical="center" shrinkToFit="1"/>
    </xf>
    <xf numFmtId="0" fontId="5" fillId="4" borderId="38"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58" xfId="0" applyFont="1" applyFill="1" applyBorder="1" applyAlignment="1">
      <alignment horizontal="center" vertical="center"/>
    </xf>
    <xf numFmtId="0" fontId="5" fillId="4" borderId="105" xfId="0" applyFont="1" applyFill="1" applyBorder="1" applyAlignment="1">
      <alignment horizontal="center" vertical="center"/>
    </xf>
    <xf numFmtId="0" fontId="5" fillId="4" borderId="61" xfId="0" applyFont="1" applyFill="1" applyBorder="1" applyAlignment="1">
      <alignment horizontal="center" vertical="center"/>
    </xf>
    <xf numFmtId="177" fontId="5" fillId="4" borderId="38" xfId="0" applyNumberFormat="1" applyFont="1" applyFill="1" applyBorder="1" applyAlignment="1">
      <alignment horizontal="center" vertical="center" shrinkToFit="1"/>
    </xf>
    <xf numFmtId="177" fontId="5" fillId="4" borderId="28" xfId="0" applyNumberFormat="1" applyFont="1" applyFill="1" applyBorder="1" applyAlignment="1">
      <alignment horizontal="center" vertical="center" shrinkToFit="1"/>
    </xf>
    <xf numFmtId="177" fontId="5" fillId="4" borderId="36" xfId="0" applyNumberFormat="1" applyFont="1" applyFill="1" applyBorder="1" applyAlignment="1">
      <alignment horizontal="center" vertical="center" shrinkToFit="1"/>
    </xf>
    <xf numFmtId="0" fontId="5" fillId="4" borderId="104" xfId="0" applyFont="1" applyFill="1" applyBorder="1" applyAlignment="1">
      <alignment horizontal="center" vertical="center"/>
    </xf>
    <xf numFmtId="0" fontId="5" fillId="4" borderId="53" xfId="0" applyFont="1" applyFill="1" applyBorder="1" applyAlignment="1">
      <alignment horizontal="center" vertical="center"/>
    </xf>
    <xf numFmtId="0" fontId="5" fillId="4" borderId="62" xfId="0" applyFont="1" applyFill="1" applyBorder="1" applyAlignment="1">
      <alignment horizontal="center" vertical="center"/>
    </xf>
    <xf numFmtId="191" fontId="5" fillId="4" borderId="38" xfId="0" applyNumberFormat="1" applyFont="1" applyFill="1" applyBorder="1" applyAlignment="1">
      <alignment horizontal="center" vertical="center" shrinkToFit="1"/>
    </xf>
    <xf numFmtId="191" fontId="5" fillId="4" borderId="28" xfId="0" applyNumberFormat="1" applyFont="1" applyFill="1" applyBorder="1" applyAlignment="1">
      <alignment horizontal="center" vertical="center" shrinkToFit="1"/>
    </xf>
    <xf numFmtId="191" fontId="5" fillId="4" borderId="36" xfId="0" applyNumberFormat="1" applyFont="1" applyFill="1" applyBorder="1" applyAlignment="1">
      <alignment horizontal="center" vertical="center" shrinkToFit="1"/>
    </xf>
    <xf numFmtId="0" fontId="5" fillId="4" borderId="40" xfId="0" applyFont="1" applyFill="1" applyBorder="1" applyAlignment="1" applyProtection="1">
      <alignment horizontal="center" vertical="center"/>
      <protection locked="0"/>
    </xf>
    <xf numFmtId="0" fontId="5" fillId="4" borderId="58" xfId="0" applyFont="1" applyFill="1" applyBorder="1" applyAlignment="1" applyProtection="1">
      <alignment horizontal="center" vertical="center"/>
      <protection locked="0"/>
    </xf>
    <xf numFmtId="0" fontId="5" fillId="4" borderId="19" xfId="0" applyNumberFormat="1" applyFont="1" applyFill="1" applyBorder="1" applyAlignment="1" applyProtection="1">
      <alignment horizontal="center" vertical="center"/>
      <protection locked="0"/>
    </xf>
    <xf numFmtId="38" fontId="5" fillId="4" borderId="58" xfId="1" applyFont="1" applyFill="1" applyBorder="1" applyAlignment="1" applyProtection="1">
      <alignment horizontal="center" vertical="center" shrinkToFit="1"/>
      <protection locked="0"/>
    </xf>
    <xf numFmtId="38" fontId="5" fillId="4" borderId="19" xfId="1" applyFont="1" applyFill="1" applyBorder="1" applyAlignment="1" applyProtection="1">
      <alignment horizontal="center" vertical="center" shrinkToFit="1"/>
      <protection locked="0"/>
    </xf>
    <xf numFmtId="38" fontId="5" fillId="4" borderId="38" xfId="1" applyFont="1" applyFill="1" applyBorder="1" applyAlignment="1" applyProtection="1">
      <alignment horizontal="center" vertical="center" shrinkToFit="1"/>
      <protection locked="0"/>
    </xf>
    <xf numFmtId="186" fontId="5" fillId="10" borderId="19" xfId="1" applyNumberFormat="1" applyFont="1" applyFill="1" applyBorder="1" applyAlignment="1" applyProtection="1">
      <alignment horizontal="center" vertical="center" shrinkToFit="1"/>
      <protection locked="0"/>
    </xf>
    <xf numFmtId="186" fontId="5" fillId="10" borderId="86" xfId="1" applyNumberFormat="1" applyFont="1" applyFill="1" applyBorder="1" applyAlignment="1" applyProtection="1">
      <alignment horizontal="center" vertical="center" shrinkToFit="1"/>
      <protection locked="0"/>
    </xf>
    <xf numFmtId="186" fontId="5" fillId="3" borderId="19" xfId="1" applyNumberFormat="1" applyFont="1" applyFill="1" applyBorder="1" applyAlignment="1" applyProtection="1">
      <alignment horizontal="center" vertical="center" shrinkToFit="1"/>
      <protection locked="0"/>
    </xf>
    <xf numFmtId="187" fontId="5" fillId="7" borderId="88" xfId="3" applyNumberFormat="1" applyFont="1" applyFill="1" applyBorder="1" applyAlignment="1" applyProtection="1">
      <alignment horizontal="center" vertical="center" shrinkToFit="1"/>
      <protection locked="0"/>
    </xf>
    <xf numFmtId="187" fontId="5" fillId="7" borderId="89" xfId="3" applyNumberFormat="1" applyFont="1" applyFill="1" applyBorder="1" applyAlignment="1" applyProtection="1">
      <alignment horizontal="center" vertical="center" shrinkToFit="1"/>
      <protection locked="0"/>
    </xf>
    <xf numFmtId="187" fontId="5" fillId="3" borderId="89" xfId="3" applyNumberFormat="1" applyFont="1" applyFill="1" applyBorder="1" applyAlignment="1" applyProtection="1">
      <alignment horizontal="center" vertical="center" shrinkToFit="1"/>
      <protection locked="0"/>
    </xf>
    <xf numFmtId="187" fontId="5" fillId="10" borderId="89" xfId="3" applyNumberFormat="1" applyFont="1" applyFill="1" applyBorder="1" applyAlignment="1" applyProtection="1">
      <alignment horizontal="center" vertical="center" shrinkToFit="1"/>
      <protection locked="0"/>
    </xf>
    <xf numFmtId="187" fontId="5" fillId="10" borderId="90" xfId="3" applyNumberFormat="1" applyFont="1" applyFill="1" applyBorder="1" applyAlignment="1" applyProtection="1">
      <alignment horizontal="center" vertical="center" shrinkToFit="1"/>
      <protection locked="0"/>
    </xf>
    <xf numFmtId="38" fontId="5" fillId="7" borderId="109" xfId="0" applyNumberFormat="1" applyFont="1" applyFill="1" applyBorder="1" applyAlignment="1" applyProtection="1">
      <alignment horizontal="center" vertical="center" shrinkToFit="1"/>
      <protection locked="0"/>
    </xf>
    <xf numFmtId="38" fontId="5" fillId="7" borderId="107" xfId="0" applyNumberFormat="1" applyFont="1" applyFill="1" applyBorder="1" applyAlignment="1" applyProtection="1">
      <alignment horizontal="center" vertical="center" shrinkToFit="1"/>
      <protection locked="0"/>
    </xf>
    <xf numFmtId="38" fontId="5" fillId="3" borderId="107" xfId="0" applyNumberFormat="1" applyFont="1" applyFill="1" applyBorder="1" applyAlignment="1" applyProtection="1">
      <alignment horizontal="center" vertical="center" shrinkToFit="1"/>
      <protection locked="0"/>
    </xf>
    <xf numFmtId="38" fontId="5" fillId="10" borderId="107" xfId="0" applyNumberFormat="1" applyFont="1" applyFill="1" applyBorder="1" applyAlignment="1" applyProtection="1">
      <alignment horizontal="center" vertical="center" shrinkToFit="1"/>
      <protection locked="0"/>
    </xf>
    <xf numFmtId="38" fontId="5" fillId="10" borderId="106" xfId="0" applyNumberFormat="1" applyFont="1" applyFill="1" applyBorder="1" applyAlignment="1" applyProtection="1">
      <alignment horizontal="center" vertical="center" shrinkToFit="1"/>
      <protection locked="0"/>
    </xf>
    <xf numFmtId="38" fontId="5" fillId="7" borderId="112" xfId="0" applyNumberFormat="1" applyFont="1" applyFill="1" applyBorder="1" applyAlignment="1" applyProtection="1">
      <alignment horizontal="center" vertical="center" shrinkToFit="1"/>
      <protection locked="0"/>
    </xf>
    <xf numFmtId="38" fontId="5" fillId="7" borderId="81" xfId="0" applyNumberFormat="1" applyFont="1" applyFill="1" applyBorder="1" applyAlignment="1" applyProtection="1">
      <alignment horizontal="center" vertical="center" shrinkToFit="1"/>
      <protection locked="0"/>
    </xf>
    <xf numFmtId="0" fontId="21" fillId="4" borderId="0" xfId="0" applyFont="1" applyFill="1" applyBorder="1" applyAlignment="1">
      <alignment horizontal="left" wrapText="1"/>
    </xf>
    <xf numFmtId="0" fontId="21" fillId="4" borderId="8" xfId="0" applyFont="1" applyFill="1" applyBorder="1" applyAlignment="1">
      <alignment horizontal="left" wrapText="1"/>
    </xf>
    <xf numFmtId="38" fontId="5" fillId="7" borderId="111" xfId="0" applyNumberFormat="1" applyFont="1" applyFill="1" applyBorder="1" applyAlignment="1" applyProtection="1">
      <alignment horizontal="center" vertical="center" shrinkToFit="1"/>
      <protection locked="0"/>
    </xf>
    <xf numFmtId="38" fontId="5" fillId="7" borderId="71" xfId="0" applyNumberFormat="1" applyFont="1" applyFill="1" applyBorder="1" applyAlignment="1" applyProtection="1">
      <alignment horizontal="center" vertical="center" shrinkToFit="1"/>
      <protection locked="0"/>
    </xf>
    <xf numFmtId="38" fontId="5" fillId="4" borderId="53" xfId="0" applyNumberFormat="1" applyFont="1" applyFill="1" applyBorder="1" applyAlignment="1">
      <alignment vertical="center" shrinkToFit="1"/>
    </xf>
    <xf numFmtId="0" fontId="40" fillId="16" borderId="1" xfId="0" applyFont="1" applyFill="1" applyBorder="1" applyAlignment="1">
      <alignment horizontal="center" vertical="center"/>
    </xf>
    <xf numFmtId="0" fontId="40" fillId="16" borderId="2" xfId="0" applyFont="1" applyFill="1" applyBorder="1" applyAlignment="1">
      <alignment horizontal="center" vertical="center"/>
    </xf>
    <xf numFmtId="0" fontId="40" fillId="16" borderId="3" xfId="0" applyFont="1" applyFill="1" applyBorder="1" applyAlignment="1">
      <alignment horizontal="center" vertical="center"/>
    </xf>
    <xf numFmtId="0" fontId="5" fillId="4" borderId="19" xfId="0" applyFont="1" applyFill="1" applyBorder="1" applyAlignment="1" applyProtection="1">
      <alignment horizontal="center" vertical="center" shrinkToFit="1"/>
      <protection locked="0"/>
    </xf>
    <xf numFmtId="0" fontId="26" fillId="4" borderId="103" xfId="0" applyFont="1" applyFill="1" applyBorder="1" applyAlignment="1">
      <alignment horizontal="center" vertical="center"/>
    </xf>
    <xf numFmtId="0" fontId="24" fillId="12" borderId="37" xfId="0" applyFont="1" applyFill="1" applyBorder="1" applyAlignment="1">
      <alignment horizontal="distributed" vertical="center"/>
    </xf>
    <xf numFmtId="0" fontId="24" fillId="12" borderId="33" xfId="0" applyFont="1" applyFill="1" applyBorder="1" applyAlignment="1">
      <alignment horizontal="distributed" vertical="center"/>
    </xf>
    <xf numFmtId="0" fontId="24" fillId="12" borderId="52" xfId="0" applyFont="1" applyFill="1" applyBorder="1" applyAlignment="1">
      <alignment horizontal="distributed" vertical="center"/>
    </xf>
    <xf numFmtId="0" fontId="24" fillId="12" borderId="53" xfId="0" applyFont="1" applyFill="1" applyBorder="1" applyAlignment="1">
      <alignment horizontal="distributed" vertical="center"/>
    </xf>
    <xf numFmtId="0" fontId="5" fillId="12" borderId="33" xfId="0" applyFont="1" applyFill="1" applyBorder="1" applyAlignment="1">
      <alignment horizontal="center" vertical="center"/>
    </xf>
    <xf numFmtId="0" fontId="5" fillId="12" borderId="34" xfId="0" applyFont="1" applyFill="1" applyBorder="1" applyAlignment="1">
      <alignment horizontal="center" vertical="center"/>
    </xf>
    <xf numFmtId="0" fontId="5" fillId="12" borderId="53" xfId="0" applyFont="1" applyFill="1" applyBorder="1" applyAlignment="1">
      <alignment horizontal="center" vertical="center"/>
    </xf>
    <xf numFmtId="0" fontId="5" fillId="12" borderId="54" xfId="0" applyFont="1" applyFill="1" applyBorder="1" applyAlignment="1">
      <alignment horizontal="center" vertical="center"/>
    </xf>
    <xf numFmtId="176" fontId="24" fillId="3" borderId="37"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176" fontId="24" fillId="3" borderId="30" xfId="0" applyNumberFormat="1" applyFont="1" applyFill="1" applyBorder="1" applyAlignment="1" applyProtection="1">
      <alignment horizontal="center" vertical="center"/>
      <protection locked="0"/>
    </xf>
    <xf numFmtId="176" fontId="24" fillId="3" borderId="31" xfId="0" applyNumberFormat="1" applyFont="1" applyFill="1" applyBorder="1" applyAlignment="1" applyProtection="1">
      <alignment horizontal="center" vertical="center"/>
      <protection locked="0"/>
    </xf>
    <xf numFmtId="177" fontId="5" fillId="4" borderId="19" xfId="0" applyNumberFormat="1" applyFont="1" applyFill="1" applyBorder="1" applyAlignment="1" applyProtection="1">
      <alignment horizontal="center" vertical="center" shrinkToFit="1"/>
      <protection locked="0"/>
    </xf>
    <xf numFmtId="38" fontId="5" fillId="4" borderId="71" xfId="1" applyFont="1" applyFill="1" applyBorder="1" applyAlignment="1" applyProtection="1">
      <alignment horizontal="center" vertical="center" shrinkToFit="1"/>
      <protection locked="0"/>
    </xf>
    <xf numFmtId="38" fontId="5" fillId="4" borderId="64" xfId="1" applyFont="1" applyFill="1" applyBorder="1" applyAlignment="1" applyProtection="1">
      <alignment horizontal="center" vertical="center" shrinkToFit="1"/>
      <protection locked="0"/>
    </xf>
    <xf numFmtId="0" fontId="5" fillId="4" borderId="19" xfId="0" applyFont="1" applyFill="1" applyBorder="1" applyAlignment="1" applyProtection="1">
      <alignment horizontal="center" vertical="center"/>
      <protection locked="0"/>
    </xf>
    <xf numFmtId="0" fontId="34" fillId="14" borderId="74" xfId="0" applyFont="1" applyFill="1" applyBorder="1" applyAlignment="1">
      <alignment horizontal="center" vertical="center"/>
    </xf>
    <xf numFmtId="0" fontId="34" fillId="14" borderId="75" xfId="0" applyFont="1" applyFill="1" applyBorder="1" applyAlignment="1">
      <alignment horizontal="center" vertical="center"/>
    </xf>
    <xf numFmtId="0" fontId="34" fillId="14" borderId="76" xfId="0" applyFont="1" applyFill="1" applyBorder="1" applyAlignment="1">
      <alignment horizontal="center" vertical="center"/>
    </xf>
    <xf numFmtId="0" fontId="34" fillId="14" borderId="77" xfId="0" applyFont="1" applyFill="1" applyBorder="1" applyAlignment="1">
      <alignment horizontal="center" vertical="center"/>
    </xf>
    <xf numFmtId="0" fontId="34" fillId="14" borderId="78" xfId="0" applyFont="1" applyFill="1" applyBorder="1" applyAlignment="1">
      <alignment horizontal="center" vertical="center"/>
    </xf>
    <xf numFmtId="0" fontId="34" fillId="14" borderId="79" xfId="0" applyFont="1" applyFill="1" applyBorder="1" applyAlignment="1">
      <alignment horizontal="center" vertical="center"/>
    </xf>
    <xf numFmtId="38" fontId="5" fillId="4" borderId="80" xfId="1" applyFont="1" applyFill="1" applyBorder="1" applyAlignment="1">
      <alignment horizontal="center" vertical="center" shrinkToFit="1"/>
    </xf>
    <xf numFmtId="38" fontId="5" fillId="4" borderId="81" xfId="1" applyFont="1" applyFill="1" applyBorder="1" applyAlignment="1">
      <alignment horizontal="center" vertical="center" shrinkToFit="1"/>
    </xf>
    <xf numFmtId="38" fontId="5" fillId="4" borderId="113" xfId="1" applyFont="1" applyFill="1" applyBorder="1" applyAlignment="1" applyProtection="1">
      <alignment horizontal="center" vertical="center" shrinkToFit="1"/>
      <protection locked="0"/>
    </xf>
    <xf numFmtId="38" fontId="5" fillId="4" borderId="107" xfId="1" applyFont="1" applyFill="1" applyBorder="1" applyAlignment="1" applyProtection="1">
      <alignment horizontal="center" vertical="center" shrinkToFit="1"/>
      <protection locked="0"/>
    </xf>
    <xf numFmtId="38" fontId="5" fillId="4" borderId="106" xfId="1" applyFont="1" applyFill="1" applyBorder="1" applyAlignment="1" applyProtection="1">
      <alignment horizontal="center" vertical="center" shrinkToFit="1"/>
      <protection locked="0"/>
    </xf>
    <xf numFmtId="0" fontId="5" fillId="7" borderId="36" xfId="0" applyFont="1" applyFill="1" applyBorder="1" applyAlignment="1" applyProtection="1">
      <alignment horizontal="center" vertical="center"/>
      <protection locked="0"/>
    </xf>
    <xf numFmtId="0" fontId="5" fillId="7" borderId="19"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10" borderId="19" xfId="0" applyFont="1" applyFill="1" applyBorder="1" applyAlignment="1" applyProtection="1">
      <alignment horizontal="center" vertical="center"/>
      <protection locked="0"/>
    </xf>
    <xf numFmtId="0" fontId="5" fillId="10" borderId="92" xfId="0" applyFont="1" applyFill="1" applyBorder="1" applyAlignment="1" applyProtection="1">
      <alignment horizontal="center" vertical="center"/>
      <protection locked="0"/>
    </xf>
    <xf numFmtId="0" fontId="5" fillId="10" borderId="33" xfId="0" applyFont="1" applyFill="1" applyBorder="1" applyAlignment="1">
      <alignment horizontal="center" vertical="center"/>
    </xf>
    <xf numFmtId="0" fontId="5" fillId="10" borderId="34" xfId="0" applyFont="1" applyFill="1" applyBorder="1" applyAlignment="1">
      <alignment horizontal="center" vertical="center"/>
    </xf>
    <xf numFmtId="0" fontId="5" fillId="10" borderId="10" xfId="0" applyFont="1" applyFill="1" applyBorder="1" applyAlignment="1">
      <alignment horizontal="center" vertical="center"/>
    </xf>
    <xf numFmtId="0" fontId="5" fillId="10" borderId="11" xfId="0" applyFont="1" applyFill="1" applyBorder="1" applyAlignment="1">
      <alignment horizontal="center" vertical="center"/>
    </xf>
    <xf numFmtId="0" fontId="24" fillId="10" borderId="37" xfId="0" applyFont="1" applyFill="1" applyBorder="1" applyAlignment="1">
      <alignment horizontal="distributed" vertical="center"/>
    </xf>
    <xf numFmtId="0" fontId="24" fillId="10" borderId="33" xfId="0" applyFont="1" applyFill="1" applyBorder="1" applyAlignment="1">
      <alignment horizontal="distributed" vertical="center"/>
    </xf>
    <xf numFmtId="0" fontId="24" fillId="10" borderId="9" xfId="0" applyFont="1" applyFill="1" applyBorder="1" applyAlignment="1">
      <alignment horizontal="distributed" vertical="center"/>
    </xf>
    <xf numFmtId="0" fontId="24" fillId="10" borderId="10" xfId="0" applyFont="1" applyFill="1" applyBorder="1" applyAlignment="1">
      <alignment horizontal="distributed" vertical="center"/>
    </xf>
    <xf numFmtId="38" fontId="5" fillId="4" borderId="19" xfId="1" applyFont="1" applyFill="1" applyBorder="1" applyAlignment="1" applyProtection="1">
      <alignment horizontal="center" vertical="center"/>
      <protection locked="0"/>
    </xf>
    <xf numFmtId="38" fontId="5" fillId="4" borderId="58" xfId="1" applyFont="1" applyFill="1" applyBorder="1" applyAlignment="1" applyProtection="1">
      <alignment horizontal="center" vertical="center"/>
      <protection locked="0"/>
    </xf>
    <xf numFmtId="0" fontId="5" fillId="4" borderId="63" xfId="0" applyFont="1" applyFill="1" applyBorder="1" applyAlignment="1" applyProtection="1">
      <alignment horizontal="center" vertical="center" shrinkToFit="1"/>
      <protection locked="0"/>
    </xf>
    <xf numFmtId="0" fontId="5" fillId="4" borderId="71" xfId="0" applyFont="1" applyFill="1" applyBorder="1" applyAlignment="1" applyProtection="1">
      <alignment horizontal="center" vertical="center" shrinkToFit="1"/>
      <protection locked="0"/>
    </xf>
    <xf numFmtId="0" fontId="5" fillId="4" borderId="58" xfId="0" applyFont="1" applyFill="1" applyBorder="1" applyAlignment="1" applyProtection="1">
      <alignment horizontal="center" vertical="center" shrinkToFit="1"/>
      <protection locked="0"/>
    </xf>
    <xf numFmtId="38" fontId="5" fillId="3" borderId="81" xfId="0" applyNumberFormat="1" applyFont="1" applyFill="1" applyBorder="1" applyAlignment="1" applyProtection="1">
      <alignment horizontal="center" vertical="center" shrinkToFit="1"/>
      <protection locked="0"/>
    </xf>
    <xf numFmtId="38" fontId="5" fillId="10" borderId="81" xfId="0" applyNumberFormat="1" applyFont="1" applyFill="1" applyBorder="1" applyAlignment="1" applyProtection="1">
      <alignment horizontal="center" vertical="center" shrinkToFit="1"/>
      <protection locked="0"/>
    </xf>
    <xf numFmtId="38" fontId="5" fillId="10" borderId="108" xfId="0" applyNumberFormat="1" applyFont="1" applyFill="1" applyBorder="1" applyAlignment="1" applyProtection="1">
      <alignment horizontal="center" vertical="center" shrinkToFit="1"/>
      <protection locked="0"/>
    </xf>
    <xf numFmtId="0" fontId="5" fillId="7" borderId="85" xfId="0" applyFont="1" applyFill="1" applyBorder="1" applyAlignment="1">
      <alignment horizontal="center" vertical="center"/>
    </xf>
    <xf numFmtId="0" fontId="5" fillId="7" borderId="19" xfId="0" applyFont="1" applyFill="1" applyBorder="1" applyAlignment="1">
      <alignment horizontal="center" vertical="center"/>
    </xf>
    <xf numFmtId="0" fontId="5" fillId="3" borderId="19" xfId="0" applyFont="1" applyFill="1" applyBorder="1" applyAlignment="1">
      <alignment horizontal="center" vertical="center"/>
    </xf>
    <xf numFmtId="0" fontId="5" fillId="10" borderId="19" xfId="0" applyFont="1" applyFill="1" applyBorder="1" applyAlignment="1">
      <alignment horizontal="center" vertical="center"/>
    </xf>
    <xf numFmtId="0" fontId="5" fillId="10" borderId="86" xfId="0" applyFont="1" applyFill="1" applyBorder="1" applyAlignment="1">
      <alignment horizontal="center" vertical="center"/>
    </xf>
    <xf numFmtId="186" fontId="5" fillId="7" borderId="85" xfId="1" applyNumberFormat="1" applyFont="1" applyFill="1" applyBorder="1" applyAlignment="1" applyProtection="1">
      <alignment horizontal="center" vertical="center" shrinkToFit="1"/>
      <protection locked="0"/>
    </xf>
    <xf numFmtId="186" fontId="5" fillId="7" borderId="19" xfId="1" applyNumberFormat="1" applyFont="1" applyFill="1" applyBorder="1" applyAlignment="1" applyProtection="1">
      <alignment horizontal="center" vertical="center" shrinkToFit="1"/>
      <protection locked="0"/>
    </xf>
    <xf numFmtId="0" fontId="5" fillId="4" borderId="83" xfId="0" applyFont="1" applyFill="1" applyBorder="1" applyAlignment="1">
      <alignment horizontal="center" vertical="center"/>
    </xf>
    <xf numFmtId="0" fontId="5" fillId="4" borderId="67" xfId="0" applyFont="1" applyFill="1" applyBorder="1" applyAlignment="1">
      <alignment horizontal="center" vertical="center"/>
    </xf>
    <xf numFmtId="0" fontId="5" fillId="4" borderId="84" xfId="0" applyFont="1" applyFill="1" applyBorder="1" applyAlignment="1">
      <alignment horizontal="center" vertical="center"/>
    </xf>
    <xf numFmtId="0" fontId="5" fillId="7" borderId="36" xfId="3" applyNumberFormat="1" applyFont="1" applyFill="1" applyBorder="1" applyAlignment="1" applyProtection="1">
      <alignment horizontal="center" vertical="center" shrinkToFit="1"/>
      <protection locked="0"/>
    </xf>
    <xf numFmtId="0" fontId="5" fillId="7" borderId="19" xfId="3" applyNumberFormat="1" applyFont="1" applyFill="1" applyBorder="1" applyAlignment="1" applyProtection="1">
      <alignment horizontal="center" vertical="center" shrinkToFit="1"/>
      <protection locked="0"/>
    </xf>
    <xf numFmtId="0" fontId="5" fillId="3" borderId="19" xfId="3" applyNumberFormat="1" applyFont="1" applyFill="1" applyBorder="1" applyAlignment="1" applyProtection="1">
      <alignment horizontal="center" vertical="center" shrinkToFit="1"/>
      <protection locked="0"/>
    </xf>
    <xf numFmtId="0" fontId="5" fillId="10" borderId="19" xfId="3" applyNumberFormat="1" applyFont="1" applyFill="1" applyBorder="1" applyAlignment="1" applyProtection="1">
      <alignment horizontal="center" vertical="center" shrinkToFit="1"/>
      <protection locked="0"/>
    </xf>
    <xf numFmtId="0" fontId="5" fillId="10" borderId="86" xfId="3" applyNumberFormat="1" applyFont="1" applyFill="1" applyBorder="1" applyAlignment="1" applyProtection="1">
      <alignment horizontal="center" vertical="center" shrinkToFit="1"/>
      <protection locked="0"/>
    </xf>
    <xf numFmtId="0" fontId="5" fillId="7" borderId="40" xfId="3" applyNumberFormat="1" applyFont="1" applyFill="1" applyBorder="1" applyAlignment="1" applyProtection="1">
      <alignment horizontal="center" vertical="center" shrinkToFit="1"/>
      <protection locked="0"/>
    </xf>
    <xf numFmtId="0" fontId="5" fillId="7" borderId="58" xfId="3" applyNumberFormat="1" applyFont="1" applyFill="1" applyBorder="1" applyAlignment="1" applyProtection="1">
      <alignment horizontal="center" vertical="center" shrinkToFit="1"/>
      <protection locked="0"/>
    </xf>
    <xf numFmtId="0" fontId="5" fillId="3" borderId="58" xfId="3" applyNumberFormat="1" applyFont="1" applyFill="1" applyBorder="1" applyAlignment="1" applyProtection="1">
      <alignment horizontal="center" vertical="center" shrinkToFit="1"/>
      <protection locked="0"/>
    </xf>
    <xf numFmtId="0" fontId="5" fillId="10" borderId="58" xfId="3" applyNumberFormat="1" applyFont="1" applyFill="1" applyBorder="1" applyAlignment="1" applyProtection="1">
      <alignment horizontal="center" vertical="center" shrinkToFit="1"/>
      <protection locked="0"/>
    </xf>
    <xf numFmtId="0" fontId="5" fillId="10" borderId="87" xfId="3" applyNumberFormat="1" applyFont="1" applyFill="1" applyBorder="1" applyAlignment="1" applyProtection="1">
      <alignment horizontal="center" vertical="center" shrinkToFit="1"/>
      <protection locked="0"/>
    </xf>
    <xf numFmtId="38" fontId="5" fillId="7" borderId="97" xfId="3" applyFont="1" applyFill="1" applyBorder="1" applyAlignment="1" applyProtection="1">
      <alignment horizontal="center" vertical="center" shrinkToFit="1"/>
      <protection locked="0"/>
    </xf>
    <xf numFmtId="38" fontId="5" fillId="7" borderId="89" xfId="3" applyFont="1" applyFill="1" applyBorder="1" applyAlignment="1" applyProtection="1">
      <alignment horizontal="center" vertical="center" shrinkToFit="1"/>
      <protection locked="0"/>
    </xf>
    <xf numFmtId="38" fontId="5" fillId="3" borderId="89" xfId="3" applyFont="1" applyFill="1" applyBorder="1" applyAlignment="1" applyProtection="1">
      <alignment horizontal="center" vertical="center" shrinkToFit="1"/>
      <protection locked="0"/>
    </xf>
    <xf numFmtId="38" fontId="5" fillId="10" borderId="89" xfId="3" applyFont="1" applyFill="1" applyBorder="1" applyAlignment="1" applyProtection="1">
      <alignment horizontal="center" vertical="center" shrinkToFit="1"/>
      <protection locked="0"/>
    </xf>
    <xf numFmtId="38" fontId="5" fillId="10" borderId="93" xfId="3" applyFont="1" applyFill="1" applyBorder="1" applyAlignment="1" applyProtection="1">
      <alignment horizontal="center" vertical="center" shrinkToFit="1"/>
      <protection locked="0"/>
    </xf>
    <xf numFmtId="38" fontId="5" fillId="7" borderId="91" xfId="3" applyFont="1" applyFill="1" applyBorder="1" applyAlignment="1" applyProtection="1">
      <alignment horizontal="center" vertical="center" shrinkToFit="1"/>
      <protection locked="0"/>
    </xf>
    <xf numFmtId="38" fontId="5" fillId="10" borderId="90" xfId="3" applyFont="1" applyFill="1" applyBorder="1" applyAlignment="1" applyProtection="1">
      <alignment horizontal="center" vertical="center" shrinkToFit="1"/>
      <protection locked="0"/>
    </xf>
    <xf numFmtId="0" fontId="5" fillId="10" borderId="58" xfId="0" applyFont="1" applyFill="1" applyBorder="1" applyAlignment="1" applyProtection="1">
      <alignment horizontal="center" vertical="center"/>
      <protection locked="0"/>
    </xf>
    <xf numFmtId="0" fontId="5" fillId="10" borderId="96" xfId="0" applyFont="1" applyFill="1" applyBorder="1" applyAlignment="1" applyProtection="1">
      <alignment horizontal="center" vertical="center"/>
      <protection locked="0"/>
    </xf>
    <xf numFmtId="0" fontId="5" fillId="7" borderId="40" xfId="0" applyFont="1" applyFill="1" applyBorder="1" applyAlignment="1" applyProtection="1">
      <alignment horizontal="center" vertical="center"/>
      <protection locked="0"/>
    </xf>
    <xf numFmtId="0" fontId="5" fillId="7" borderId="58" xfId="0" applyFont="1" applyFill="1" applyBorder="1" applyAlignment="1" applyProtection="1">
      <alignment horizontal="center" vertical="center"/>
      <protection locked="0"/>
    </xf>
    <xf numFmtId="0" fontId="5" fillId="3" borderId="58" xfId="0" applyFont="1" applyFill="1" applyBorder="1" applyAlignment="1" applyProtection="1">
      <alignment horizontal="center" vertical="center"/>
      <protection locked="0"/>
    </xf>
    <xf numFmtId="0" fontId="5" fillId="7" borderId="36" xfId="0" applyFont="1" applyFill="1" applyBorder="1" applyAlignment="1">
      <alignment horizontal="center" vertical="center"/>
    </xf>
    <xf numFmtId="38" fontId="5" fillId="3" borderId="58" xfId="0" applyNumberFormat="1" applyFont="1" applyFill="1" applyBorder="1" applyAlignment="1" applyProtection="1">
      <alignment horizontal="center" vertical="center"/>
      <protection locked="0"/>
    </xf>
    <xf numFmtId="38" fontId="5" fillId="10" borderId="58" xfId="0" applyNumberFormat="1" applyFont="1" applyFill="1" applyBorder="1" applyAlignment="1" applyProtection="1">
      <alignment horizontal="center" vertical="center"/>
      <protection locked="0"/>
    </xf>
    <xf numFmtId="38" fontId="5" fillId="7" borderId="88" xfId="3" applyFont="1" applyFill="1" applyBorder="1" applyAlignment="1" applyProtection="1">
      <alignment horizontal="center" vertical="center" shrinkToFit="1"/>
      <protection locked="0"/>
    </xf>
    <xf numFmtId="0" fontId="5" fillId="7" borderId="94" xfId="0" applyFont="1" applyFill="1" applyBorder="1" applyAlignment="1" applyProtection="1">
      <alignment horizontal="center" vertical="center"/>
      <protection locked="0"/>
    </xf>
    <xf numFmtId="38" fontId="5" fillId="3" borderId="19" xfId="0" applyNumberFormat="1" applyFont="1" applyFill="1" applyBorder="1" applyAlignment="1" applyProtection="1">
      <alignment horizontal="center" vertical="center"/>
      <protection locked="0"/>
    </xf>
    <xf numFmtId="38" fontId="5" fillId="10" borderId="19" xfId="0" applyNumberFormat="1" applyFont="1" applyFill="1" applyBorder="1" applyAlignment="1" applyProtection="1">
      <alignment horizontal="center" vertical="center"/>
      <protection locked="0"/>
    </xf>
    <xf numFmtId="0" fontId="5" fillId="10" borderId="92" xfId="0" applyFont="1" applyFill="1" applyBorder="1" applyAlignment="1">
      <alignment horizontal="center" vertical="center"/>
    </xf>
    <xf numFmtId="0" fontId="5" fillId="7" borderId="94" xfId="0" applyFont="1" applyFill="1" applyBorder="1" applyAlignment="1">
      <alignment horizontal="center" vertical="center"/>
    </xf>
    <xf numFmtId="38" fontId="5" fillId="7" borderId="85" xfId="0" applyNumberFormat="1" applyFont="1" applyFill="1" applyBorder="1" applyAlignment="1" applyProtection="1">
      <alignment horizontal="center" vertical="center"/>
      <protection locked="0"/>
    </xf>
    <xf numFmtId="38" fontId="5" fillId="10" borderId="82" xfId="0" applyNumberFormat="1" applyFont="1" applyFill="1" applyBorder="1" applyAlignment="1" applyProtection="1">
      <alignment horizontal="center" vertical="center" shrinkToFit="1"/>
      <protection locked="0"/>
    </xf>
    <xf numFmtId="38" fontId="5" fillId="7" borderId="98" xfId="0" applyNumberFormat="1" applyFont="1" applyFill="1" applyBorder="1" applyAlignment="1" applyProtection="1">
      <alignment horizontal="center" vertical="center"/>
      <protection locked="0"/>
    </xf>
    <xf numFmtId="38" fontId="5" fillId="10" borderId="19" xfId="3" applyFont="1" applyFill="1" applyBorder="1" applyAlignment="1" applyProtection="1">
      <alignment horizontal="center" vertical="center" shrinkToFit="1"/>
      <protection locked="0"/>
    </xf>
    <xf numFmtId="38" fontId="5" fillId="10" borderId="86" xfId="3" applyFont="1" applyFill="1" applyBorder="1" applyAlignment="1" applyProtection="1">
      <alignment horizontal="center" vertical="center" shrinkToFit="1"/>
      <protection locked="0"/>
    </xf>
    <xf numFmtId="38" fontId="5" fillId="10" borderId="58" xfId="3" applyFont="1" applyFill="1" applyBorder="1" applyAlignment="1" applyProtection="1">
      <alignment horizontal="center" vertical="center" shrinkToFit="1"/>
      <protection locked="0"/>
    </xf>
    <xf numFmtId="38" fontId="5" fillId="10" borderId="87" xfId="3" applyFont="1" applyFill="1" applyBorder="1" applyAlignment="1" applyProtection="1">
      <alignment horizontal="center" vertical="center" shrinkToFit="1"/>
      <protection locked="0"/>
    </xf>
    <xf numFmtId="38" fontId="5" fillId="10" borderId="89" xfId="1" applyFont="1" applyFill="1" applyBorder="1" applyAlignment="1" applyProtection="1">
      <alignment horizontal="center" vertical="center" shrinkToFit="1"/>
      <protection locked="0"/>
    </xf>
    <xf numFmtId="38" fontId="5" fillId="10" borderId="93" xfId="1" applyFont="1" applyFill="1" applyBorder="1" applyAlignment="1" applyProtection="1">
      <alignment horizontal="center" vertical="center" shrinkToFit="1"/>
      <protection locked="0"/>
    </xf>
    <xf numFmtId="38" fontId="5" fillId="7" borderId="97" xfId="1" applyFont="1" applyFill="1" applyBorder="1" applyAlignment="1" applyProtection="1">
      <alignment horizontal="center" vertical="center" shrinkToFit="1"/>
      <protection locked="0"/>
    </xf>
    <xf numFmtId="38" fontId="5" fillId="7" borderId="89" xfId="1" applyFont="1" applyFill="1" applyBorder="1" applyAlignment="1" applyProtection="1">
      <alignment horizontal="center" vertical="center" shrinkToFit="1"/>
      <protection locked="0"/>
    </xf>
    <xf numFmtId="38" fontId="5" fillId="3" borderId="89" xfId="1" applyFont="1" applyFill="1" applyBorder="1" applyAlignment="1" applyProtection="1">
      <alignment horizontal="center" vertical="center" shrinkToFit="1"/>
      <protection locked="0"/>
    </xf>
    <xf numFmtId="0" fontId="5" fillId="7" borderId="95" xfId="0" applyFont="1" applyFill="1" applyBorder="1" applyAlignment="1" applyProtection="1">
      <alignment horizontal="center" vertical="center"/>
      <protection locked="0"/>
    </xf>
    <xf numFmtId="38" fontId="5" fillId="7" borderId="94" xfId="0" applyNumberFormat="1" applyFont="1" applyFill="1" applyBorder="1" applyAlignment="1" applyProtection="1">
      <alignment horizontal="center" vertical="center"/>
      <protection locked="0"/>
    </xf>
    <xf numFmtId="38" fontId="5" fillId="7" borderId="88" xfId="1" applyFont="1" applyFill="1" applyBorder="1" applyAlignment="1" applyProtection="1">
      <alignment horizontal="center" vertical="center" shrinkToFit="1"/>
      <protection locked="0"/>
    </xf>
    <xf numFmtId="38" fontId="5" fillId="4" borderId="19" xfId="0" applyNumberFormat="1" applyFont="1" applyFill="1" applyBorder="1" applyAlignment="1" applyProtection="1">
      <alignment horizontal="center" vertical="center"/>
      <protection locked="0"/>
    </xf>
    <xf numFmtId="177" fontId="5" fillId="4" borderId="19" xfId="0" applyNumberFormat="1" applyFont="1" applyFill="1" applyBorder="1" applyAlignment="1" applyProtection="1">
      <alignment horizontal="center" vertical="center"/>
      <protection locked="0"/>
    </xf>
    <xf numFmtId="38" fontId="5" fillId="10" borderId="19" xfId="1" applyFont="1" applyFill="1" applyBorder="1" applyAlignment="1" applyProtection="1">
      <alignment horizontal="center" vertical="center" shrinkToFit="1"/>
      <protection locked="0"/>
    </xf>
    <xf numFmtId="38" fontId="5" fillId="10" borderId="92" xfId="1" applyFont="1" applyFill="1" applyBorder="1" applyAlignment="1" applyProtection="1">
      <alignment horizontal="center" vertical="center" shrinkToFit="1"/>
      <protection locked="0"/>
    </xf>
    <xf numFmtId="38" fontId="5" fillId="7" borderId="85" xfId="1" applyFont="1" applyFill="1" applyBorder="1" applyAlignment="1" applyProtection="1">
      <alignment horizontal="center" vertical="center" shrinkToFit="1"/>
      <protection locked="0"/>
    </xf>
    <xf numFmtId="38" fontId="5" fillId="7" borderId="19" xfId="1" applyFont="1" applyFill="1" applyBorder="1" applyAlignment="1" applyProtection="1">
      <alignment horizontal="center" vertical="center" shrinkToFit="1"/>
      <protection locked="0"/>
    </xf>
    <xf numFmtId="38" fontId="5" fillId="7" borderId="36" xfId="3" applyFont="1" applyFill="1" applyBorder="1" applyAlignment="1" applyProtection="1">
      <alignment horizontal="center" vertical="center" shrinkToFit="1"/>
      <protection locked="0"/>
    </xf>
    <xf numFmtId="38" fontId="5" fillId="7" borderId="19" xfId="3" applyFont="1" applyFill="1" applyBorder="1" applyAlignment="1" applyProtection="1">
      <alignment horizontal="center" vertical="center" shrinkToFit="1"/>
      <protection locked="0"/>
    </xf>
    <xf numFmtId="38" fontId="5" fillId="7" borderId="40" xfId="3" applyFont="1" applyFill="1" applyBorder="1" applyAlignment="1" applyProtection="1">
      <alignment horizontal="center" vertical="center" shrinkToFit="1"/>
      <protection locked="0"/>
    </xf>
    <xf numFmtId="38" fontId="5" fillId="7" borderId="58" xfId="3" applyFont="1" applyFill="1" applyBorder="1" applyAlignment="1" applyProtection="1">
      <alignment horizontal="center" vertical="center" shrinkToFit="1"/>
      <protection locked="0"/>
    </xf>
    <xf numFmtId="38" fontId="5" fillId="3" borderId="19" xfId="3" applyFont="1" applyFill="1" applyBorder="1" applyAlignment="1" applyProtection="1">
      <alignment horizontal="center" vertical="center" shrinkToFit="1"/>
      <protection locked="0"/>
    </xf>
    <xf numFmtId="38" fontId="5" fillId="3" borderId="58" xfId="3" applyFont="1" applyFill="1" applyBorder="1" applyAlignment="1" applyProtection="1">
      <alignment horizontal="center" vertical="center" shrinkToFit="1"/>
      <protection locked="0"/>
    </xf>
    <xf numFmtId="38" fontId="5" fillId="3" borderId="19" xfId="1" applyFont="1" applyFill="1" applyBorder="1" applyAlignment="1" applyProtection="1">
      <alignment horizontal="center" vertical="center" shrinkToFit="1"/>
      <protection locked="0"/>
    </xf>
    <xf numFmtId="0" fontId="5" fillId="4" borderId="19" xfId="0" applyFont="1" applyFill="1" applyBorder="1" applyAlignment="1">
      <alignment horizontal="center" vertical="center" shrinkToFit="1"/>
    </xf>
    <xf numFmtId="0" fontId="5" fillId="4" borderId="38" xfId="0" applyFont="1" applyFill="1" applyBorder="1" applyAlignment="1">
      <alignment horizontal="center" vertical="center" shrinkToFit="1"/>
    </xf>
    <xf numFmtId="38" fontId="5" fillId="10" borderId="58" xfId="1" applyFont="1" applyFill="1" applyBorder="1" applyAlignment="1" applyProtection="1">
      <alignment horizontal="center" vertical="center" shrinkToFit="1"/>
      <protection locked="0"/>
    </xf>
    <xf numFmtId="38" fontId="5" fillId="10" borderId="96" xfId="1" applyFont="1" applyFill="1" applyBorder="1" applyAlignment="1" applyProtection="1">
      <alignment horizontal="center" vertical="center" shrinkToFit="1"/>
      <protection locked="0"/>
    </xf>
    <xf numFmtId="38" fontId="5" fillId="7" borderId="94" xfId="1" applyFont="1" applyFill="1" applyBorder="1" applyAlignment="1" applyProtection="1">
      <alignment horizontal="center" vertical="center" shrinkToFit="1"/>
      <protection locked="0"/>
    </xf>
    <xf numFmtId="38" fontId="5" fillId="4" borderId="39" xfId="1" applyFont="1" applyFill="1" applyBorder="1" applyAlignment="1" applyProtection="1">
      <alignment horizontal="center" vertical="center" shrinkToFit="1"/>
      <protection locked="0"/>
    </xf>
    <xf numFmtId="38" fontId="5" fillId="4" borderId="19" xfId="0" applyNumberFormat="1" applyFont="1" applyFill="1" applyBorder="1" applyAlignment="1" applyProtection="1">
      <alignment horizontal="center" vertical="center" shrinkToFit="1"/>
      <protection locked="0"/>
    </xf>
    <xf numFmtId="184" fontId="5" fillId="4" borderId="71" xfId="0" applyNumberFormat="1" applyFont="1" applyFill="1" applyBorder="1" applyAlignment="1" applyProtection="1">
      <alignment horizontal="center" vertical="center" shrinkToFit="1"/>
      <protection locked="0"/>
    </xf>
    <xf numFmtId="0" fontId="24" fillId="3" borderId="43" xfId="0" applyFont="1" applyFill="1" applyBorder="1" applyAlignment="1" applyProtection="1">
      <alignment horizontal="center" vertical="center"/>
      <protection locked="0"/>
    </xf>
    <xf numFmtId="0" fontId="24" fillId="3" borderId="44" xfId="0" applyFont="1" applyFill="1" applyBorder="1" applyAlignment="1" applyProtection="1">
      <alignment horizontal="center" vertical="center"/>
      <protection locked="0"/>
    </xf>
    <xf numFmtId="0" fontId="24" fillId="7" borderId="44" xfId="0" applyFont="1" applyFill="1" applyBorder="1" applyAlignment="1" applyProtection="1">
      <alignment horizontal="center" vertical="center"/>
      <protection locked="0"/>
    </xf>
    <xf numFmtId="0" fontId="24" fillId="7" borderId="45" xfId="0" applyFont="1" applyFill="1" applyBorder="1" applyAlignment="1" applyProtection="1">
      <alignment horizontal="center" vertical="center"/>
      <protection locked="0"/>
    </xf>
    <xf numFmtId="176" fontId="24" fillId="9" borderId="39" xfId="0" applyNumberFormat="1" applyFont="1" applyFill="1" applyBorder="1" applyAlignment="1">
      <alignment horizontal="right" vertical="center"/>
    </xf>
    <xf numFmtId="176" fontId="24" fillId="9" borderId="33" xfId="0" applyNumberFormat="1" applyFont="1" applyFill="1" applyBorder="1" applyAlignment="1">
      <alignment horizontal="right" vertical="center"/>
    </xf>
    <xf numFmtId="176" fontId="24" fillId="9" borderId="40" xfId="0" applyNumberFormat="1" applyFont="1" applyFill="1" applyBorder="1" applyAlignment="1">
      <alignment horizontal="right" vertical="center"/>
    </xf>
    <xf numFmtId="176" fontId="24" fillId="9" borderId="34" xfId="0" applyNumberFormat="1" applyFont="1" applyFill="1" applyBorder="1" applyAlignment="1">
      <alignment horizontal="right" vertical="center"/>
    </xf>
    <xf numFmtId="176" fontId="24" fillId="7" borderId="33" xfId="1" applyNumberFormat="1" applyFont="1" applyFill="1" applyBorder="1" applyAlignment="1" applyProtection="1">
      <alignment horizontal="right" vertical="center"/>
      <protection locked="0"/>
    </xf>
    <xf numFmtId="176" fontId="24" fillId="7" borderId="39" xfId="0" applyNumberFormat="1" applyFont="1" applyFill="1" applyBorder="1" applyAlignment="1" applyProtection="1">
      <alignment horizontal="right" vertical="center"/>
      <protection locked="0"/>
    </xf>
    <xf numFmtId="176" fontId="24" fillId="7" borderId="33" xfId="0" applyNumberFormat="1" applyFont="1" applyFill="1" applyBorder="1" applyAlignment="1" applyProtection="1">
      <alignment horizontal="right" vertical="center"/>
      <protection locked="0"/>
    </xf>
    <xf numFmtId="176" fontId="24" fillId="7" borderId="40" xfId="0" applyNumberFormat="1" applyFont="1" applyFill="1" applyBorder="1" applyAlignment="1" applyProtection="1">
      <alignment horizontal="right" vertical="center"/>
      <protection locked="0"/>
    </xf>
    <xf numFmtId="0" fontId="24" fillId="3" borderId="18" xfId="0" applyFont="1" applyFill="1" applyBorder="1" applyAlignment="1" applyProtection="1">
      <alignment horizontal="center" vertical="center"/>
      <protection locked="0"/>
    </xf>
    <xf numFmtId="0" fontId="24" fillId="3" borderId="19" xfId="0" applyFont="1" applyFill="1" applyBorder="1" applyAlignment="1" applyProtection="1">
      <alignment horizontal="center" vertical="center"/>
      <protection locked="0"/>
    </xf>
    <xf numFmtId="0" fontId="24" fillId="3" borderId="20" xfId="0" applyFont="1" applyFill="1" applyBorder="1" applyAlignment="1" applyProtection="1">
      <alignment horizontal="center" vertical="center"/>
      <protection locked="0"/>
    </xf>
    <xf numFmtId="0" fontId="24" fillId="3" borderId="21" xfId="0" applyFont="1" applyFill="1" applyBorder="1" applyAlignment="1" applyProtection="1">
      <alignment horizontal="center" vertical="center"/>
      <protection locked="0"/>
    </xf>
    <xf numFmtId="0" fontId="24" fillId="3" borderId="22" xfId="0" applyFont="1" applyFill="1" applyBorder="1" applyAlignment="1" applyProtection="1">
      <alignment horizontal="center" vertical="center"/>
      <protection locked="0"/>
    </xf>
    <xf numFmtId="0" fontId="24" fillId="3" borderId="23" xfId="0" applyFont="1" applyFill="1" applyBorder="1" applyAlignment="1" applyProtection="1">
      <alignment horizontal="center" vertical="center"/>
      <protection locked="0"/>
    </xf>
    <xf numFmtId="0" fontId="5" fillId="11" borderId="33" xfId="0" applyFont="1" applyFill="1" applyBorder="1" applyAlignment="1">
      <alignment horizontal="center" vertical="center"/>
    </xf>
    <xf numFmtId="0" fontId="5" fillId="11" borderId="34" xfId="0" applyFont="1" applyFill="1" applyBorder="1" applyAlignment="1">
      <alignment horizontal="center" vertical="center"/>
    </xf>
    <xf numFmtId="0" fontId="5" fillId="11" borderId="53" xfId="0" applyFont="1" applyFill="1" applyBorder="1" applyAlignment="1">
      <alignment horizontal="center" vertical="center"/>
    </xf>
    <xf numFmtId="0" fontId="5" fillId="11" borderId="54" xfId="0" applyFont="1" applyFill="1" applyBorder="1" applyAlignment="1">
      <alignment horizontal="center" vertical="center"/>
    </xf>
    <xf numFmtId="0" fontId="5" fillId="4" borderId="38"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4" borderId="36" xfId="0" applyFont="1" applyFill="1" applyBorder="1" applyAlignment="1" applyProtection="1">
      <alignment horizontal="center" vertical="center"/>
      <protection locked="0"/>
    </xf>
    <xf numFmtId="177" fontId="5" fillId="4" borderId="38" xfId="0" applyNumberFormat="1" applyFont="1" applyFill="1" applyBorder="1" applyAlignment="1" applyProtection="1">
      <alignment horizontal="center" vertical="center"/>
      <protection locked="0"/>
    </xf>
    <xf numFmtId="177" fontId="5" fillId="4" borderId="28" xfId="0" applyNumberFormat="1" applyFont="1" applyFill="1" applyBorder="1" applyAlignment="1" applyProtection="1">
      <alignment horizontal="center" vertical="center"/>
      <protection locked="0"/>
    </xf>
    <xf numFmtId="177" fontId="5" fillId="4" borderId="36" xfId="0" applyNumberFormat="1" applyFont="1" applyFill="1" applyBorder="1" applyAlignment="1" applyProtection="1">
      <alignment horizontal="center" vertical="center"/>
      <protection locked="0"/>
    </xf>
    <xf numFmtId="38" fontId="5" fillId="4" borderId="0" xfId="1" applyFont="1" applyFill="1" applyAlignment="1">
      <alignment horizontal="center" vertical="center" shrinkToFit="1"/>
    </xf>
    <xf numFmtId="0" fontId="5" fillId="4" borderId="33" xfId="0" applyNumberFormat="1" applyFont="1" applyFill="1" applyBorder="1" applyAlignment="1">
      <alignment horizontal="center" vertical="center"/>
    </xf>
    <xf numFmtId="188" fontId="25" fillId="10" borderId="7" xfId="0" applyNumberFormat="1" applyFont="1" applyFill="1" applyBorder="1" applyAlignment="1">
      <alignment horizontal="right" vertical="center" indent="2"/>
    </xf>
    <xf numFmtId="188" fontId="25" fillId="10" borderId="0" xfId="0" applyNumberFormat="1" applyFont="1" applyFill="1" applyBorder="1" applyAlignment="1">
      <alignment horizontal="right" vertical="center" indent="2"/>
    </xf>
    <xf numFmtId="188" fontId="25" fillId="10" borderId="8" xfId="0" applyNumberFormat="1" applyFont="1" applyFill="1" applyBorder="1" applyAlignment="1">
      <alignment horizontal="right" vertical="center" indent="2"/>
    </xf>
    <xf numFmtId="188" fontId="25" fillId="10" borderId="9" xfId="0" applyNumberFormat="1" applyFont="1" applyFill="1" applyBorder="1" applyAlignment="1">
      <alignment horizontal="right" vertical="center" indent="2"/>
    </xf>
    <xf numFmtId="188" fontId="25" fillId="10" borderId="10" xfId="0" applyNumberFormat="1" applyFont="1" applyFill="1" applyBorder="1" applyAlignment="1">
      <alignment horizontal="right" vertical="center" indent="2"/>
    </xf>
    <xf numFmtId="188" fontId="25" fillId="10" borderId="11" xfId="0" applyNumberFormat="1" applyFont="1" applyFill="1" applyBorder="1" applyAlignment="1">
      <alignment horizontal="right" vertical="center" indent="2"/>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21" fillId="4" borderId="4"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0" xfId="0" applyFont="1" applyFill="1" applyBorder="1" applyAlignment="1">
      <alignment horizontal="center" vertical="center" wrapText="1"/>
    </xf>
    <xf numFmtId="176" fontId="24" fillId="3" borderId="37" xfId="1" applyNumberFormat="1" applyFont="1" applyFill="1" applyBorder="1" applyAlignment="1" applyProtection="1">
      <alignment horizontal="center" vertical="center"/>
      <protection locked="0"/>
    </xf>
    <xf numFmtId="176" fontId="24" fillId="3" borderId="33" xfId="1" applyNumberFormat="1" applyFont="1" applyFill="1" applyBorder="1" applyAlignment="1" applyProtection="1">
      <alignment horizontal="center" vertical="center"/>
      <protection locked="0"/>
    </xf>
    <xf numFmtId="176" fontId="24" fillId="7" borderId="31" xfId="0" applyNumberFormat="1" applyFont="1" applyFill="1" applyBorder="1" applyAlignment="1" applyProtection="1">
      <alignment horizontal="right" vertical="center"/>
      <protection locked="0"/>
    </xf>
    <xf numFmtId="176" fontId="24" fillId="7" borderId="32" xfId="0" applyNumberFormat="1" applyFont="1" applyFill="1" applyBorder="1" applyAlignment="1" applyProtection="1">
      <alignment horizontal="right" vertical="center"/>
      <protection locked="0"/>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8" xfId="0" applyFont="1" applyFill="1" applyBorder="1" applyAlignment="1">
      <alignment horizontal="center" vertical="center"/>
    </xf>
    <xf numFmtId="182" fontId="25" fillId="11" borderId="37" xfId="0" applyNumberFormat="1" applyFont="1" applyFill="1" applyBorder="1" applyAlignment="1">
      <alignment horizontal="right" vertical="center" indent="2"/>
    </xf>
    <xf numFmtId="182" fontId="25" fillId="11" borderId="33" xfId="0" applyNumberFormat="1" applyFont="1" applyFill="1" applyBorder="1" applyAlignment="1">
      <alignment horizontal="right" vertical="center" indent="2"/>
    </xf>
    <xf numFmtId="182" fontId="25" fillId="11" borderId="34" xfId="0" applyNumberFormat="1" applyFont="1" applyFill="1" applyBorder="1" applyAlignment="1">
      <alignment horizontal="right" vertical="center" indent="2"/>
    </xf>
    <xf numFmtId="182" fontId="25" fillId="11" borderId="52" xfId="0" applyNumberFormat="1" applyFont="1" applyFill="1" applyBorder="1" applyAlignment="1">
      <alignment horizontal="right" vertical="center" indent="2"/>
    </xf>
    <xf numFmtId="182" fontId="25" fillId="11" borderId="53" xfId="0" applyNumberFormat="1" applyFont="1" applyFill="1" applyBorder="1" applyAlignment="1">
      <alignment horizontal="right" vertical="center" indent="2"/>
    </xf>
    <xf numFmtId="182" fontId="25" fillId="11" borderId="54" xfId="0" applyNumberFormat="1" applyFont="1" applyFill="1" applyBorder="1" applyAlignment="1">
      <alignment horizontal="right" vertical="center" indent="2"/>
    </xf>
    <xf numFmtId="182" fontId="25" fillId="12" borderId="37" xfId="0" applyNumberFormat="1" applyFont="1" applyFill="1" applyBorder="1" applyAlignment="1">
      <alignment horizontal="right" vertical="center" indent="2"/>
    </xf>
    <xf numFmtId="182" fontId="25" fillId="12" borderId="33" xfId="0" applyNumberFormat="1" applyFont="1" applyFill="1" applyBorder="1" applyAlignment="1">
      <alignment horizontal="right" vertical="center" indent="2"/>
    </xf>
    <xf numFmtId="182" fontId="25" fillId="12" borderId="34" xfId="0" applyNumberFormat="1" applyFont="1" applyFill="1" applyBorder="1" applyAlignment="1">
      <alignment horizontal="right" vertical="center" indent="2"/>
    </xf>
    <xf numFmtId="182" fontId="25" fillId="12" borderId="52" xfId="0" applyNumberFormat="1" applyFont="1" applyFill="1" applyBorder="1" applyAlignment="1">
      <alignment horizontal="right" vertical="center" indent="2"/>
    </xf>
    <xf numFmtId="182" fontId="25" fillId="12" borderId="53" xfId="0" applyNumberFormat="1" applyFont="1" applyFill="1" applyBorder="1" applyAlignment="1">
      <alignment horizontal="right" vertical="center" indent="2"/>
    </xf>
    <xf numFmtId="182" fontId="25" fillId="12" borderId="54" xfId="0" applyNumberFormat="1" applyFont="1" applyFill="1" applyBorder="1" applyAlignment="1">
      <alignment horizontal="right" vertical="center" indent="2"/>
    </xf>
    <xf numFmtId="0" fontId="24" fillId="3" borderId="46" xfId="0" applyFont="1" applyFill="1" applyBorder="1" applyAlignment="1" applyProtection="1">
      <alignment horizontal="center" vertical="center"/>
      <protection locked="0"/>
    </xf>
    <xf numFmtId="0" fontId="24" fillId="3" borderId="47" xfId="0" applyFont="1" applyFill="1" applyBorder="1" applyAlignment="1" applyProtection="1">
      <alignment horizontal="center" vertical="center"/>
      <protection locked="0"/>
    </xf>
    <xf numFmtId="0" fontId="24" fillId="7" borderId="47" xfId="0" applyFont="1" applyFill="1" applyBorder="1" applyAlignment="1" applyProtection="1">
      <alignment horizontal="center" vertical="center"/>
      <protection locked="0"/>
    </xf>
    <xf numFmtId="0" fontId="24" fillId="7" borderId="48" xfId="0" applyFont="1" applyFill="1" applyBorder="1" applyAlignment="1" applyProtection="1">
      <alignment horizontal="center" vertical="center"/>
      <protection locked="0"/>
    </xf>
    <xf numFmtId="176" fontId="24" fillId="7" borderId="41" xfId="0" applyNumberFormat="1" applyFont="1" applyFill="1" applyBorder="1" applyAlignment="1" applyProtection="1">
      <alignment horizontal="right" vertical="center"/>
      <protection locked="0"/>
    </xf>
    <xf numFmtId="176" fontId="24" fillId="7" borderId="42" xfId="0" applyNumberFormat="1" applyFont="1" applyFill="1" applyBorder="1" applyAlignment="1" applyProtection="1">
      <alignment horizontal="right" vertical="center"/>
      <protection locked="0"/>
    </xf>
    <xf numFmtId="176" fontId="24" fillId="7" borderId="34" xfId="0" applyNumberFormat="1" applyFont="1" applyFill="1" applyBorder="1" applyAlignment="1" applyProtection="1">
      <alignment horizontal="right" vertical="center"/>
      <protection locked="0"/>
    </xf>
    <xf numFmtId="0" fontId="24" fillId="9" borderId="43" xfId="0" applyFont="1" applyFill="1" applyBorder="1" applyAlignment="1">
      <alignment horizontal="center" vertical="center"/>
    </xf>
    <xf numFmtId="0" fontId="24" fillId="9" borderId="44" xfId="0" applyFont="1" applyFill="1" applyBorder="1" applyAlignment="1">
      <alignment horizontal="center" vertical="center"/>
    </xf>
    <xf numFmtId="0" fontId="24" fillId="9" borderId="45" xfId="0" applyFont="1" applyFill="1" applyBorder="1" applyAlignment="1">
      <alignment horizontal="center" vertical="center"/>
    </xf>
    <xf numFmtId="176" fontId="24" fillId="9" borderId="33" xfId="1" applyNumberFormat="1" applyFont="1" applyFill="1" applyBorder="1" applyAlignment="1">
      <alignment horizontal="right" vertical="center"/>
    </xf>
    <xf numFmtId="185" fontId="24" fillId="7" borderId="19" xfId="0" applyNumberFormat="1" applyFont="1" applyFill="1" applyBorder="1" applyAlignment="1" applyProtection="1">
      <alignment horizontal="right" vertical="center"/>
      <protection locked="0"/>
    </xf>
    <xf numFmtId="185" fontId="24" fillId="7" borderId="20" xfId="0" applyNumberFormat="1" applyFont="1" applyFill="1" applyBorder="1" applyAlignment="1" applyProtection="1">
      <alignment horizontal="right" vertical="center"/>
      <protection locked="0"/>
    </xf>
    <xf numFmtId="185" fontId="24" fillId="7" borderId="22" xfId="0" applyNumberFormat="1" applyFont="1" applyFill="1" applyBorder="1" applyAlignment="1" applyProtection="1">
      <alignment horizontal="right" vertical="center"/>
      <protection locked="0"/>
    </xf>
    <xf numFmtId="185" fontId="24" fillId="7" borderId="23" xfId="0" applyNumberFormat="1" applyFont="1" applyFill="1" applyBorder="1" applyAlignment="1" applyProtection="1">
      <alignment horizontal="right" vertical="center"/>
      <protection locked="0"/>
    </xf>
    <xf numFmtId="0" fontId="5" fillId="4" borderId="18"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5" fillId="4" borderId="20" xfId="0" applyFont="1" applyFill="1" applyBorder="1" applyAlignment="1">
      <alignment horizontal="center" vertical="center"/>
    </xf>
    <xf numFmtId="0" fontId="28" fillId="4" borderId="0" xfId="0" applyFont="1" applyFill="1" applyBorder="1" applyAlignment="1">
      <alignment horizontal="center" vertical="center" shrinkToFit="1"/>
    </xf>
    <xf numFmtId="0" fontId="5" fillId="4" borderId="27"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0" xfId="0" applyFont="1" applyFill="1" applyBorder="1" applyAlignment="1">
      <alignment horizontal="center" vertical="center"/>
    </xf>
    <xf numFmtId="0" fontId="24" fillId="3" borderId="27" xfId="0" applyFont="1" applyFill="1" applyBorder="1" applyAlignment="1" applyProtection="1">
      <alignment horizontal="center" vertical="center"/>
      <protection locked="0"/>
    </xf>
    <xf numFmtId="0" fontId="24" fillId="3" borderId="28" xfId="0" applyFont="1" applyFill="1" applyBorder="1" applyAlignment="1" applyProtection="1">
      <alignment horizontal="center" vertical="center"/>
      <protection locked="0"/>
    </xf>
    <xf numFmtId="0" fontId="24" fillId="3" borderId="29" xfId="0" applyFont="1" applyFill="1" applyBorder="1" applyAlignment="1" applyProtection="1">
      <alignment horizontal="center" vertical="center"/>
      <protection locked="0"/>
    </xf>
    <xf numFmtId="0" fontId="24" fillId="3" borderId="30" xfId="0" applyFont="1" applyFill="1" applyBorder="1" applyAlignment="1" applyProtection="1">
      <alignment horizontal="center" vertical="center"/>
      <protection locked="0"/>
    </xf>
    <xf numFmtId="0" fontId="24" fillId="3" borderId="31" xfId="0" applyFont="1" applyFill="1" applyBorder="1" applyAlignment="1" applyProtection="1">
      <alignment horizontal="center" vertical="center"/>
      <protection locked="0"/>
    </xf>
    <xf numFmtId="0" fontId="24" fillId="3" borderId="32" xfId="0" applyFont="1" applyFill="1" applyBorder="1" applyAlignment="1" applyProtection="1">
      <alignment horizontal="center" vertical="center"/>
      <protection locked="0"/>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35"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49"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24" fillId="3" borderId="49" xfId="0" applyFont="1" applyFill="1" applyBorder="1" applyAlignment="1" applyProtection="1">
      <alignment horizontal="center" vertical="center"/>
      <protection locked="0"/>
    </xf>
    <xf numFmtId="0" fontId="24" fillId="3" borderId="50" xfId="0" applyFont="1" applyFill="1" applyBorder="1" applyAlignment="1" applyProtection="1">
      <alignment horizontal="center" vertical="center"/>
      <protection locked="0"/>
    </xf>
    <xf numFmtId="0" fontId="24" fillId="7" borderId="50" xfId="0" applyFont="1" applyFill="1" applyBorder="1" applyAlignment="1" applyProtection="1">
      <alignment horizontal="center" vertical="center"/>
      <protection locked="0"/>
    </xf>
    <xf numFmtId="0" fontId="24" fillId="7" borderId="51" xfId="0" applyFont="1" applyFill="1" applyBorder="1" applyAlignment="1" applyProtection="1">
      <alignment horizontal="center" vertical="center"/>
      <protection locked="0"/>
    </xf>
    <xf numFmtId="176" fontId="24" fillId="7" borderId="18" xfId="1" applyNumberFormat="1" applyFont="1" applyFill="1" applyBorder="1" applyAlignment="1" applyProtection="1">
      <alignment horizontal="right" vertical="center"/>
      <protection locked="0"/>
    </xf>
    <xf numFmtId="176" fontId="24" fillId="7" borderId="19" xfId="1" applyNumberFormat="1" applyFont="1" applyFill="1" applyBorder="1" applyAlignment="1" applyProtection="1">
      <alignment horizontal="right" vertical="center"/>
      <protection locked="0"/>
    </xf>
    <xf numFmtId="176" fontId="24" fillId="7" borderId="21" xfId="1" applyNumberFormat="1" applyFont="1" applyFill="1" applyBorder="1" applyAlignment="1" applyProtection="1">
      <alignment horizontal="right" vertical="center"/>
      <protection locked="0"/>
    </xf>
    <xf numFmtId="176" fontId="24" fillId="7" borderId="22" xfId="1" applyNumberFormat="1" applyFont="1" applyFill="1" applyBorder="1" applyAlignment="1" applyProtection="1">
      <alignment horizontal="right" vertical="center"/>
      <protection locked="0"/>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3" borderId="2" xfId="0" applyFont="1" applyFill="1" applyBorder="1" applyAlignment="1" applyProtection="1">
      <alignment horizontal="center" vertical="center"/>
      <protection locked="0"/>
    </xf>
    <xf numFmtId="0" fontId="5" fillId="7" borderId="2" xfId="0" applyFont="1" applyFill="1" applyBorder="1" applyAlignment="1" applyProtection="1">
      <alignment horizontal="center" vertical="center"/>
      <protection locked="0"/>
    </xf>
    <xf numFmtId="0" fontId="5" fillId="4" borderId="15" xfId="0" applyFont="1" applyFill="1" applyBorder="1" applyAlignment="1">
      <alignment horizontal="center" vertical="center"/>
    </xf>
    <xf numFmtId="177" fontId="5" fillId="4" borderId="38" xfId="0" applyNumberFormat="1" applyFont="1" applyFill="1" applyBorder="1" applyAlignment="1" applyProtection="1">
      <alignment horizontal="center" vertical="center" shrinkToFit="1"/>
      <protection locked="0"/>
    </xf>
    <xf numFmtId="177" fontId="5" fillId="4" borderId="36" xfId="0" applyNumberFormat="1" applyFont="1" applyFill="1" applyBorder="1" applyAlignment="1" applyProtection="1">
      <alignment horizontal="center" vertical="center" shrinkToFit="1"/>
      <protection locked="0"/>
    </xf>
    <xf numFmtId="176" fontId="24" fillId="7" borderId="34" xfId="1" applyNumberFormat="1" applyFont="1" applyFill="1" applyBorder="1" applyAlignment="1" applyProtection="1">
      <alignment horizontal="right" vertical="center"/>
      <protection locked="0"/>
    </xf>
    <xf numFmtId="0" fontId="5" fillId="4" borderId="0" xfId="0" applyFont="1" applyFill="1" applyAlignment="1">
      <alignment vertical="center" shrinkToFit="1"/>
    </xf>
    <xf numFmtId="0" fontId="5" fillId="4" borderId="8" xfId="0" applyFont="1" applyFill="1" applyBorder="1" applyAlignment="1">
      <alignment vertical="center" shrinkToFit="1"/>
    </xf>
    <xf numFmtId="0" fontId="35" fillId="14" borderId="7" xfId="0" applyFont="1" applyFill="1" applyBorder="1" applyAlignment="1">
      <alignment horizontal="center" vertical="center"/>
    </xf>
    <xf numFmtId="0" fontId="35" fillId="14" borderId="0" xfId="0" applyFont="1" applyFill="1" applyBorder="1" applyAlignment="1">
      <alignment horizontal="center" vertical="center"/>
    </xf>
    <xf numFmtId="0" fontId="35" fillId="14" borderId="8" xfId="0" applyFont="1" applyFill="1" applyBorder="1" applyAlignment="1">
      <alignment horizontal="center" vertical="center"/>
    </xf>
    <xf numFmtId="0" fontId="5" fillId="4" borderId="38"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36" xfId="0" applyFont="1" applyFill="1" applyBorder="1" applyAlignment="1" applyProtection="1">
      <alignment horizontal="center" vertical="center" shrinkToFit="1"/>
      <protection locked="0"/>
    </xf>
    <xf numFmtId="0" fontId="5" fillId="4" borderId="53" xfId="0" applyFont="1" applyFill="1" applyBorder="1" applyAlignment="1">
      <alignment horizontal="distributed" vertical="center"/>
    </xf>
    <xf numFmtId="0" fontId="5" fillId="4" borderId="53" xfId="0" applyFont="1" applyFill="1" applyBorder="1" applyAlignment="1">
      <alignment horizontal="center" vertical="center" shrinkToFit="1"/>
    </xf>
    <xf numFmtId="0" fontId="5" fillId="4" borderId="53" xfId="0" applyFont="1" applyFill="1" applyBorder="1" applyAlignment="1">
      <alignment horizontal="distributed" vertical="center" shrinkToFit="1"/>
    </xf>
    <xf numFmtId="0" fontId="29" fillId="8" borderId="1" xfId="0" applyFont="1" applyFill="1" applyBorder="1" applyAlignment="1">
      <alignment horizontal="center" vertical="center"/>
    </xf>
    <xf numFmtId="0" fontId="29" fillId="8" borderId="2" xfId="0" applyFont="1" applyFill="1" applyBorder="1" applyAlignment="1">
      <alignment horizontal="center" vertical="center"/>
    </xf>
    <xf numFmtId="0" fontId="29" fillId="8" borderId="3" xfId="0" applyFont="1" applyFill="1" applyBorder="1" applyAlignment="1">
      <alignment horizontal="center" vertical="center"/>
    </xf>
    <xf numFmtId="176" fontId="24" fillId="7" borderId="39" xfId="1" applyNumberFormat="1" applyFont="1" applyFill="1" applyBorder="1" applyAlignment="1" applyProtection="1">
      <alignment horizontal="right" vertical="center"/>
      <protection locked="0"/>
    </xf>
    <xf numFmtId="176" fontId="24" fillId="7" borderId="40" xfId="1" applyNumberFormat="1" applyFont="1" applyFill="1" applyBorder="1" applyAlignment="1" applyProtection="1">
      <alignment horizontal="right" vertical="center"/>
      <protection locked="0"/>
    </xf>
    <xf numFmtId="0" fontId="24" fillId="11" borderId="37" xfId="0" applyFont="1" applyFill="1" applyBorder="1" applyAlignment="1">
      <alignment horizontal="distributed" vertical="center"/>
    </xf>
    <xf numFmtId="0" fontId="24" fillId="11" borderId="33" xfId="0" applyFont="1" applyFill="1" applyBorder="1" applyAlignment="1">
      <alignment horizontal="distributed" vertical="center"/>
    </xf>
    <xf numFmtId="0" fontId="24" fillId="11" borderId="52" xfId="0" applyFont="1" applyFill="1" applyBorder="1" applyAlignment="1">
      <alignment horizontal="distributed" vertical="center"/>
    </xf>
    <xf numFmtId="0" fontId="24" fillId="11" borderId="53" xfId="0" applyFont="1" applyFill="1" applyBorder="1" applyAlignment="1">
      <alignment horizontal="distributed" vertical="center"/>
    </xf>
    <xf numFmtId="38" fontId="5" fillId="4" borderId="80" xfId="1" applyFont="1" applyFill="1" applyBorder="1" applyAlignment="1" applyProtection="1">
      <alignment horizontal="center" vertical="center" shrinkToFit="1"/>
      <protection locked="0"/>
    </xf>
    <xf numFmtId="38" fontId="5" fillId="4" borderId="81" xfId="1" applyFont="1" applyFill="1" applyBorder="1" applyAlignment="1" applyProtection="1">
      <alignment horizontal="center" vertical="center" shrinkToFit="1"/>
      <protection locked="0"/>
    </xf>
    <xf numFmtId="38" fontId="5" fillId="4" borderId="82" xfId="1" applyFont="1" applyFill="1" applyBorder="1" applyAlignment="1" applyProtection="1">
      <alignment horizontal="center" vertical="center" shrinkToFit="1"/>
      <protection locked="0"/>
    </xf>
    <xf numFmtId="187" fontId="5" fillId="7" borderId="110" xfId="0" applyNumberFormat="1" applyFont="1" applyFill="1" applyBorder="1" applyAlignment="1" applyProtection="1">
      <alignment horizontal="center" vertical="center" shrinkToFit="1"/>
      <protection locked="0"/>
    </xf>
    <xf numFmtId="187" fontId="5" fillId="7" borderId="81" xfId="0" applyNumberFormat="1" applyFont="1" applyFill="1" applyBorder="1" applyAlignment="1" applyProtection="1">
      <alignment horizontal="center" vertical="center" shrinkToFit="1"/>
      <protection locked="0"/>
    </xf>
    <xf numFmtId="187" fontId="5" fillId="3" borderId="81" xfId="0" applyNumberFormat="1" applyFont="1" applyFill="1" applyBorder="1" applyAlignment="1" applyProtection="1">
      <alignment horizontal="center" vertical="center" shrinkToFit="1"/>
      <protection locked="0"/>
    </xf>
    <xf numFmtId="187" fontId="5" fillId="10" borderId="81" xfId="0" applyNumberFormat="1" applyFont="1" applyFill="1" applyBorder="1" applyAlignment="1" applyProtection="1">
      <alignment horizontal="center" vertical="center" shrinkToFit="1"/>
      <protection locked="0"/>
    </xf>
    <xf numFmtId="187" fontId="5" fillId="10" borderId="82" xfId="0" applyNumberFormat="1" applyFont="1" applyFill="1" applyBorder="1" applyAlignment="1" applyProtection="1">
      <alignment horizontal="center" vertical="center" shrinkToFit="1"/>
      <protection locked="0"/>
    </xf>
    <xf numFmtId="38" fontId="5" fillId="4" borderId="63" xfId="1" applyFont="1" applyFill="1" applyBorder="1" applyAlignment="1" applyProtection="1">
      <alignment horizontal="center" vertical="center" shrinkToFit="1"/>
      <protection locked="0"/>
    </xf>
    <xf numFmtId="38" fontId="5" fillId="4" borderId="66" xfId="1" applyFont="1" applyFill="1" applyBorder="1" applyAlignment="1" applyProtection="1">
      <alignment horizontal="center" vertical="center" shrinkToFit="1"/>
      <protection locked="0"/>
    </xf>
    <xf numFmtId="38" fontId="5" fillId="7" borderId="65" xfId="0" applyNumberFormat="1" applyFont="1" applyFill="1" applyBorder="1" applyAlignment="1" applyProtection="1">
      <alignment horizontal="center" vertical="center" shrinkToFit="1"/>
      <protection locked="0"/>
    </xf>
    <xf numFmtId="38" fontId="5" fillId="3" borderId="71" xfId="0" applyNumberFormat="1" applyFont="1" applyFill="1" applyBorder="1" applyAlignment="1" applyProtection="1">
      <alignment horizontal="center" vertical="center" shrinkToFit="1"/>
      <protection locked="0"/>
    </xf>
    <xf numFmtId="38" fontId="5" fillId="10" borderId="71" xfId="0" applyNumberFormat="1" applyFont="1" applyFill="1" applyBorder="1" applyAlignment="1" applyProtection="1">
      <alignment horizontal="center" vertical="center" shrinkToFit="1"/>
      <protection locked="0"/>
    </xf>
    <xf numFmtId="38" fontId="5" fillId="10" borderId="64" xfId="0" applyNumberFormat="1" applyFont="1" applyFill="1" applyBorder="1" applyAlignment="1" applyProtection="1">
      <alignment horizontal="center" vertical="center" shrinkToFit="1"/>
      <protection locked="0"/>
    </xf>
    <xf numFmtId="38" fontId="5" fillId="10" borderId="66" xfId="0" applyNumberFormat="1" applyFont="1" applyFill="1" applyBorder="1" applyAlignment="1" applyProtection="1">
      <alignment horizontal="center" vertical="center" shrinkToFit="1"/>
      <protection locked="0"/>
    </xf>
    <xf numFmtId="0" fontId="0" fillId="0" borderId="0" xfId="0" applyAlignment="1">
      <alignment horizontal="center" vertical="center"/>
    </xf>
    <xf numFmtId="0" fontId="16" fillId="4" borderId="19" xfId="2" applyFont="1" applyFill="1" applyBorder="1" applyAlignment="1">
      <alignment horizontal="center" vertical="center" wrapText="1"/>
    </xf>
    <xf numFmtId="0" fontId="16" fillId="4" borderId="59" xfId="2" applyFont="1" applyFill="1" applyBorder="1" applyAlignment="1">
      <alignment horizontal="center" vertical="center" wrapText="1"/>
    </xf>
    <xf numFmtId="0" fontId="15" fillId="4" borderId="7" xfId="2" applyFont="1" applyFill="1" applyBorder="1" applyAlignment="1">
      <alignment horizontal="center" vertical="center" wrapText="1"/>
    </xf>
    <xf numFmtId="0" fontId="15" fillId="4" borderId="0" xfId="2" applyFont="1" applyFill="1" applyBorder="1" applyAlignment="1">
      <alignment horizontal="center" vertical="center" wrapText="1"/>
    </xf>
    <xf numFmtId="49" fontId="13" fillId="4" borderId="0" xfId="2" applyNumberFormat="1" applyFont="1" applyFill="1" applyAlignment="1">
      <alignment horizontal="center" vertical="center"/>
    </xf>
    <xf numFmtId="38" fontId="5" fillId="7" borderId="95" xfId="1" applyFont="1" applyFill="1" applyBorder="1" applyAlignment="1" applyProtection="1">
      <alignment horizontal="center" vertical="center" shrinkToFit="1"/>
      <protection locked="0"/>
    </xf>
    <xf numFmtId="38" fontId="5" fillId="7" borderId="58" xfId="1" applyFont="1" applyFill="1" applyBorder="1" applyAlignment="1" applyProtection="1">
      <alignment horizontal="center" vertical="center" shrinkToFit="1"/>
      <protection locked="0"/>
    </xf>
    <xf numFmtId="38" fontId="5" fillId="3" borderId="58" xfId="1" applyFont="1" applyFill="1" applyBorder="1" applyAlignment="1" applyProtection="1">
      <alignment horizontal="center" vertical="center" shrinkToFit="1"/>
      <protection locked="0"/>
    </xf>
  </cellXfs>
  <cellStyles count="5">
    <cellStyle name="ハイパーリンク" xfId="4" builtinId="8"/>
    <cellStyle name="桁区切り" xfId="1" builtinId="6"/>
    <cellStyle name="桁区切り 2" xfId="3" xr:uid="{00000000-0005-0000-0000-000002000000}"/>
    <cellStyle name="標準" xfId="0" builtinId="0"/>
    <cellStyle name="標準 2" xfId="2" xr:uid="{00000000-0005-0000-0000-000004000000}"/>
  </cellStyles>
  <dxfs count="3">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31777;&#26131;&#35430;&#31639;&#34920;!AO79"/><Relationship Id="rId7" Type="http://schemas.openxmlformats.org/officeDocument/2006/relationships/hyperlink" Target="#&#31777;&#26131;&#35430;&#31639;&#34920;!AO58"/><Relationship Id="rId2" Type="http://schemas.openxmlformats.org/officeDocument/2006/relationships/hyperlink" Target="#&#31777;&#26131;&#35430;&#31639;&#34920;!AO55"/><Relationship Id="rId1" Type="http://schemas.openxmlformats.org/officeDocument/2006/relationships/image" Target="../media/image1.emf"/><Relationship Id="rId6" Type="http://schemas.openxmlformats.org/officeDocument/2006/relationships/hyperlink" Target="#&#31777;&#26131;&#35430;&#31639;&#34920;!AO31"/><Relationship Id="rId5" Type="http://schemas.openxmlformats.org/officeDocument/2006/relationships/hyperlink" Target="#&#31777;&#26131;&#35430;&#31639;&#34920;!AO1"/><Relationship Id="rId4" Type="http://schemas.openxmlformats.org/officeDocument/2006/relationships/hyperlink" Target="#&#31777;&#26131;&#35430;&#31639;&#34920;!AO105"/></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28575</xdr:colOff>
      <xdr:row>37</xdr:row>
      <xdr:rowOff>38100</xdr:rowOff>
    </xdr:from>
    <xdr:to>
      <xdr:col>11</xdr:col>
      <xdr:colOff>76200</xdr:colOff>
      <xdr:row>49</xdr:row>
      <xdr:rowOff>266700</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28575" y="9391650"/>
          <a:ext cx="3400425" cy="3886200"/>
        </a:xfrm>
        <a:prstGeom prst="roundRect">
          <a:avLst>
            <a:gd name="adj" fmla="val 5182"/>
          </a:avLst>
        </a:prstGeom>
        <a:noFill/>
        <a:ln w="38100">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295275</xdr:colOff>
          <xdr:row>33</xdr:row>
          <xdr:rowOff>19050</xdr:rowOff>
        </xdr:from>
        <xdr:to>
          <xdr:col>39</xdr:col>
          <xdr:colOff>10428</xdr:colOff>
          <xdr:row>50</xdr:row>
          <xdr:rowOff>266700</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貼り付け図!$A$1:$AM$24" spid="_x0000_s1140"/>
                </a:ext>
              </a:extLst>
            </xdr:cNvPicPr>
          </xdr:nvPicPr>
          <xdr:blipFill>
            <a:blip xmlns:r="http://schemas.openxmlformats.org/officeDocument/2006/relationships" r:embed="rId1"/>
            <a:srcRect/>
            <a:stretch>
              <a:fillRect/>
            </a:stretch>
          </xdr:blipFill>
          <xdr:spPr bwMode="auto">
            <a:xfrm>
              <a:off x="3648075" y="8153400"/>
              <a:ext cx="8249553" cy="54292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200025</xdr:colOff>
      <xdr:row>20</xdr:row>
      <xdr:rowOff>66675</xdr:rowOff>
    </xdr:from>
    <xdr:to>
      <xdr:col>36</xdr:col>
      <xdr:colOff>285750</xdr:colOff>
      <xdr:row>26</xdr:row>
      <xdr:rowOff>190500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4825" y="5610225"/>
          <a:ext cx="10753725" cy="1800225"/>
        </a:xfrm>
        <a:prstGeom prst="roundRect">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33</xdr:row>
      <xdr:rowOff>95250</xdr:rowOff>
    </xdr:from>
    <xdr:to>
      <xdr:col>21</xdr:col>
      <xdr:colOff>190500</xdr:colOff>
      <xdr:row>35</xdr:row>
      <xdr:rowOff>161925</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3810000" y="7715250"/>
          <a:ext cx="2781300" cy="676275"/>
        </a:xfrm>
        <a:prstGeom prst="round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285749</xdr:colOff>
      <xdr:row>41</xdr:row>
      <xdr:rowOff>123825</xdr:rowOff>
    </xdr:from>
    <xdr:to>
      <xdr:col>31</xdr:col>
      <xdr:colOff>95250</xdr:colOff>
      <xdr:row>50</xdr:row>
      <xdr:rowOff>28575</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6381749" y="10696575"/>
          <a:ext cx="3162301" cy="2647950"/>
        </a:xfrm>
        <a:prstGeom prst="roundRect">
          <a:avLst>
            <a:gd name="adj" fmla="val 4435"/>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133349</xdr:colOff>
      <xdr:row>41</xdr:row>
      <xdr:rowOff>123825</xdr:rowOff>
    </xdr:from>
    <xdr:to>
      <xdr:col>34</xdr:col>
      <xdr:colOff>266700</xdr:colOff>
      <xdr:row>50</xdr:row>
      <xdr:rowOff>47625</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9582149" y="10696575"/>
          <a:ext cx="1047751" cy="2667000"/>
        </a:xfrm>
        <a:prstGeom prst="roundRect">
          <a:avLst>
            <a:gd name="adj" fmla="val 4435"/>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295276</xdr:colOff>
      <xdr:row>40</xdr:row>
      <xdr:rowOff>28575</xdr:rowOff>
    </xdr:from>
    <xdr:to>
      <xdr:col>26</xdr:col>
      <xdr:colOff>47626</xdr:colOff>
      <xdr:row>40</xdr:row>
      <xdr:rowOff>257175</xdr:rowOff>
    </xdr:to>
    <xdr:sp macro="" textlink="">
      <xdr:nvSpPr>
        <xdr:cNvPr id="8" name="右矢印 7">
          <a:extLst>
            <a:ext uri="{FF2B5EF4-FFF2-40B4-BE49-F238E27FC236}">
              <a16:creationId xmlns:a16="http://schemas.microsoft.com/office/drawing/2014/main" id="{00000000-0008-0000-0000-000008000000}"/>
            </a:ext>
          </a:extLst>
        </xdr:cNvPr>
        <xdr:cNvSpPr/>
      </xdr:nvSpPr>
      <xdr:spPr>
        <a:xfrm>
          <a:off x="3343276" y="10763250"/>
          <a:ext cx="4629150" cy="228600"/>
        </a:xfrm>
        <a:prstGeom prst="righ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19051</xdr:colOff>
      <xdr:row>96</xdr:row>
      <xdr:rowOff>28576</xdr:rowOff>
    </xdr:from>
    <xdr:to>
      <xdr:col>36</xdr:col>
      <xdr:colOff>57151</xdr:colOff>
      <xdr:row>98</xdr:row>
      <xdr:rowOff>19051</xdr:rowOff>
    </xdr:to>
    <xdr:sp macro="" textlink="">
      <xdr:nvSpPr>
        <xdr:cNvPr id="14" name="角丸四角形吹き出し 3">
          <a:extLst>
            <a:ext uri="{FF2B5EF4-FFF2-40B4-BE49-F238E27FC236}">
              <a16:creationId xmlns:a16="http://schemas.microsoft.com/office/drawing/2014/main" id="{00000000-0008-0000-0000-00000E000000}"/>
            </a:ext>
          </a:extLst>
        </xdr:cNvPr>
        <xdr:cNvSpPr/>
      </xdr:nvSpPr>
      <xdr:spPr>
        <a:xfrm>
          <a:off x="6724651" y="26422351"/>
          <a:ext cx="4305300" cy="609600"/>
        </a:xfrm>
        <a:prstGeom prst="wedgeRoundRectCallout">
          <a:avLst>
            <a:gd name="adj1" fmla="val 38505"/>
            <a:gd name="adj2" fmla="val -44354"/>
            <a:gd name="adj3" fmla="val 16667"/>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社会保険等の任意継続をした場合の月額と比較したいときは、こちらの金額を参考にしてください。</a:t>
          </a:r>
        </a:p>
      </xdr:txBody>
    </xdr:sp>
    <xdr:clientData fPrintsWithSheet="0"/>
  </xdr:twoCellAnchor>
  <xdr:twoCellAnchor>
    <xdr:from>
      <xdr:col>20</xdr:col>
      <xdr:colOff>209550</xdr:colOff>
      <xdr:row>96</xdr:row>
      <xdr:rowOff>152399</xdr:rowOff>
    </xdr:from>
    <xdr:to>
      <xdr:col>22</xdr:col>
      <xdr:colOff>104775</xdr:colOff>
      <xdr:row>97</xdr:row>
      <xdr:rowOff>152397</xdr:rowOff>
    </xdr:to>
    <xdr:sp macro="" textlink="">
      <xdr:nvSpPr>
        <xdr:cNvPr id="15" name="上矢印 14">
          <a:extLst>
            <a:ext uri="{FF2B5EF4-FFF2-40B4-BE49-F238E27FC236}">
              <a16:creationId xmlns:a16="http://schemas.microsoft.com/office/drawing/2014/main" id="{00000000-0008-0000-0000-00000F000000}"/>
            </a:ext>
          </a:extLst>
        </xdr:cNvPr>
        <xdr:cNvSpPr/>
      </xdr:nvSpPr>
      <xdr:spPr>
        <a:xfrm rot="16200000">
          <a:off x="6405564" y="25026935"/>
          <a:ext cx="304798" cy="504825"/>
        </a:xfrm>
        <a:prstGeom prst="up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28576</xdr:colOff>
      <xdr:row>33</xdr:row>
      <xdr:rowOff>9524</xdr:rowOff>
    </xdr:from>
    <xdr:to>
      <xdr:col>11</xdr:col>
      <xdr:colOff>95250</xdr:colOff>
      <xdr:row>34</xdr:row>
      <xdr:rowOff>9525</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28576" y="8143874"/>
          <a:ext cx="3419474" cy="304801"/>
        </a:xfrm>
        <a:prstGeom prst="roundRect">
          <a:avLst/>
        </a:prstGeom>
        <a:noFill/>
        <a:ln w="38100">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34</xdr:row>
      <xdr:rowOff>57150</xdr:rowOff>
    </xdr:from>
    <xdr:to>
      <xdr:col>11</xdr:col>
      <xdr:colOff>85724</xdr:colOff>
      <xdr:row>36</xdr:row>
      <xdr:rowOff>285750</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28575" y="8496300"/>
          <a:ext cx="3409949" cy="838200"/>
        </a:xfrm>
        <a:prstGeom prst="roundRect">
          <a:avLst/>
        </a:prstGeom>
        <a:noFill/>
        <a:ln w="38100">
          <a:solidFill>
            <a:srgbClr val="66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50</xdr:row>
      <xdr:rowOff>19049</xdr:rowOff>
    </xdr:from>
    <xdr:to>
      <xdr:col>11</xdr:col>
      <xdr:colOff>57149</xdr:colOff>
      <xdr:row>53</xdr:row>
      <xdr:rowOff>285751</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38100" y="13334999"/>
          <a:ext cx="3371849" cy="1181102"/>
        </a:xfrm>
        <a:prstGeom prst="roundRect">
          <a:avLst/>
        </a:prstGeom>
        <a:noFill/>
        <a:ln w="38100">
          <a:solidFill>
            <a:srgbClr val="66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257174</xdr:colOff>
      <xdr:row>49</xdr:row>
      <xdr:rowOff>123824</xdr:rowOff>
    </xdr:from>
    <xdr:to>
      <xdr:col>33</xdr:col>
      <xdr:colOff>85725</xdr:colOff>
      <xdr:row>50</xdr:row>
      <xdr:rowOff>247649</xdr:rowOff>
    </xdr:to>
    <xdr:sp macro="" textlink="">
      <xdr:nvSpPr>
        <xdr:cNvPr id="10" name="屈折矢印 9">
          <a:extLst>
            <a:ext uri="{FF2B5EF4-FFF2-40B4-BE49-F238E27FC236}">
              <a16:creationId xmlns:a16="http://schemas.microsoft.com/office/drawing/2014/main" id="{00000000-0008-0000-0000-00000A000000}"/>
            </a:ext>
          </a:extLst>
        </xdr:cNvPr>
        <xdr:cNvSpPr/>
      </xdr:nvSpPr>
      <xdr:spPr>
        <a:xfrm>
          <a:off x="3305174" y="13601699"/>
          <a:ext cx="6838951" cy="428625"/>
        </a:xfrm>
        <a:prstGeom prst="bentUp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276224</xdr:colOff>
      <xdr:row>34</xdr:row>
      <xdr:rowOff>123825</xdr:rowOff>
    </xdr:from>
    <xdr:to>
      <xdr:col>13</xdr:col>
      <xdr:colOff>19050</xdr:colOff>
      <xdr:row>35</xdr:row>
      <xdr:rowOff>57150</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324224" y="9029700"/>
          <a:ext cx="657226" cy="238125"/>
        </a:xfrm>
        <a:prstGeom prst="rightArrow">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95251</xdr:colOff>
      <xdr:row>33</xdr:row>
      <xdr:rowOff>142875</xdr:rowOff>
    </xdr:from>
    <xdr:to>
      <xdr:col>38</xdr:col>
      <xdr:colOff>219075</xdr:colOff>
      <xdr:row>36</xdr:row>
      <xdr:rowOff>9525</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934451" y="8277225"/>
          <a:ext cx="2867024" cy="781050"/>
        </a:xfrm>
        <a:prstGeom prst="wedgeRoundRectCallout">
          <a:avLst>
            <a:gd name="adj1" fmla="val -12108"/>
            <a:gd name="adj2" fmla="val 129289"/>
            <a:gd name="adj3" fmla="val 16667"/>
          </a:avLst>
        </a:prstGeom>
        <a:solidFill>
          <a:schemeClr val="bg1"/>
        </a:solidFill>
        <a:ln w="38100">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世帯主の方が国民健康保険へ加入</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する場合は「加入する」を選択</a:t>
          </a:r>
          <a:r>
            <a:rPr kumimoji="1"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して</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ください。</a:t>
          </a:r>
        </a:p>
      </xdr:txBody>
    </xdr:sp>
    <xdr:clientData/>
  </xdr:twoCellAnchor>
  <xdr:twoCellAnchor>
    <xdr:from>
      <xdr:col>31</xdr:col>
      <xdr:colOff>200025</xdr:colOff>
      <xdr:row>38</xdr:row>
      <xdr:rowOff>133350</xdr:rowOff>
    </xdr:from>
    <xdr:to>
      <xdr:col>34</xdr:col>
      <xdr:colOff>171450</xdr:colOff>
      <xdr:row>39</xdr:row>
      <xdr:rowOff>190500</xdr:rowOff>
    </xdr:to>
    <xdr:sp macro="" textlink="">
      <xdr:nvSpPr>
        <xdr:cNvPr id="23" name="楕円 22">
          <a:extLst>
            <a:ext uri="{FF2B5EF4-FFF2-40B4-BE49-F238E27FC236}">
              <a16:creationId xmlns:a16="http://schemas.microsoft.com/office/drawing/2014/main" id="{00000000-0008-0000-0000-000017000000}"/>
            </a:ext>
          </a:extLst>
        </xdr:cNvPr>
        <xdr:cNvSpPr/>
      </xdr:nvSpPr>
      <xdr:spPr>
        <a:xfrm>
          <a:off x="9648825" y="9791700"/>
          <a:ext cx="885825" cy="361950"/>
        </a:xfrm>
        <a:prstGeom prst="ellipse">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34</xdr:row>
      <xdr:rowOff>190500</xdr:rowOff>
    </xdr:from>
    <xdr:to>
      <xdr:col>15</xdr:col>
      <xdr:colOff>219075</xdr:colOff>
      <xdr:row>35</xdr:row>
      <xdr:rowOff>9525</xdr:rowOff>
    </xdr:to>
    <xdr:sp macro="" textlink="">
      <xdr:nvSpPr>
        <xdr:cNvPr id="24" name="楕円 23">
          <a:extLst>
            <a:ext uri="{FF2B5EF4-FFF2-40B4-BE49-F238E27FC236}">
              <a16:creationId xmlns:a16="http://schemas.microsoft.com/office/drawing/2014/main" id="{00000000-0008-0000-0000-000018000000}"/>
            </a:ext>
          </a:extLst>
        </xdr:cNvPr>
        <xdr:cNvSpPr/>
      </xdr:nvSpPr>
      <xdr:spPr>
        <a:xfrm>
          <a:off x="4648200" y="8629650"/>
          <a:ext cx="142875" cy="123825"/>
        </a:xfrm>
        <a:prstGeom prst="ellipse">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34</xdr:row>
      <xdr:rowOff>190500</xdr:rowOff>
    </xdr:from>
    <xdr:to>
      <xdr:col>17</xdr:col>
      <xdr:colOff>228600</xdr:colOff>
      <xdr:row>35</xdr:row>
      <xdr:rowOff>9525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5267325" y="8629650"/>
          <a:ext cx="142875" cy="123825"/>
        </a:xfrm>
        <a:prstGeom prst="ellipse">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257175</xdr:colOff>
      <xdr:row>51</xdr:row>
      <xdr:rowOff>19050</xdr:rowOff>
    </xdr:from>
    <xdr:to>
      <xdr:col>38</xdr:col>
      <xdr:colOff>238125</xdr:colOff>
      <xdr:row>54</xdr:row>
      <xdr:rowOff>57150</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a:xfrm>
          <a:off x="3609975" y="13639800"/>
          <a:ext cx="8210550" cy="952500"/>
        </a:xfrm>
        <a:prstGeom prst="roundRect">
          <a:avLst/>
        </a:prstGeom>
        <a:noFill/>
        <a:ln w="38100">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100013</xdr:colOff>
      <xdr:row>49</xdr:row>
      <xdr:rowOff>157160</xdr:rowOff>
    </xdr:from>
    <xdr:to>
      <xdr:col>37</xdr:col>
      <xdr:colOff>47626</xdr:colOff>
      <xdr:row>51</xdr:row>
      <xdr:rowOff>57150</xdr:rowOff>
    </xdr:to>
    <xdr:sp macro="" textlink="">
      <xdr:nvSpPr>
        <xdr:cNvPr id="27" name="右矢印 26">
          <a:extLst>
            <a:ext uri="{FF2B5EF4-FFF2-40B4-BE49-F238E27FC236}">
              <a16:creationId xmlns:a16="http://schemas.microsoft.com/office/drawing/2014/main" id="{00000000-0008-0000-0000-00001B000000}"/>
            </a:ext>
          </a:extLst>
        </xdr:cNvPr>
        <xdr:cNvSpPr/>
      </xdr:nvSpPr>
      <xdr:spPr>
        <a:xfrm rot="16200000">
          <a:off x="10944225" y="13763623"/>
          <a:ext cx="509590" cy="252413"/>
        </a:xfrm>
        <a:prstGeom prst="righ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285749</xdr:colOff>
      <xdr:row>41</xdr:row>
      <xdr:rowOff>123825</xdr:rowOff>
    </xdr:from>
    <xdr:to>
      <xdr:col>38</xdr:col>
      <xdr:colOff>114300</xdr:colOff>
      <xdr:row>50</xdr:row>
      <xdr:rowOff>47625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0648949" y="10696575"/>
          <a:ext cx="1047751" cy="2667000"/>
        </a:xfrm>
        <a:prstGeom prst="roundRect">
          <a:avLst>
            <a:gd name="adj" fmla="val 4435"/>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285749</xdr:colOff>
      <xdr:row>36</xdr:row>
      <xdr:rowOff>238125</xdr:rowOff>
    </xdr:from>
    <xdr:to>
      <xdr:col>31</xdr:col>
      <xdr:colOff>95250</xdr:colOff>
      <xdr:row>39</xdr:row>
      <xdr:rowOff>257175</xdr:rowOff>
    </xdr:to>
    <xdr:sp macro="" textlink="">
      <xdr:nvSpPr>
        <xdr:cNvPr id="33" name="角丸四角形 32">
          <a:extLst>
            <a:ext uri="{FF2B5EF4-FFF2-40B4-BE49-F238E27FC236}">
              <a16:creationId xmlns:a16="http://schemas.microsoft.com/office/drawing/2014/main" id="{00000000-0008-0000-0000-000021000000}"/>
            </a:ext>
          </a:extLst>
        </xdr:cNvPr>
        <xdr:cNvSpPr/>
      </xdr:nvSpPr>
      <xdr:spPr>
        <a:xfrm>
          <a:off x="6381749" y="9286875"/>
          <a:ext cx="3162301" cy="933450"/>
        </a:xfrm>
        <a:prstGeom prst="roundRect">
          <a:avLst>
            <a:gd name="adj" fmla="val 4435"/>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161926</xdr:colOff>
      <xdr:row>39</xdr:row>
      <xdr:rowOff>123825</xdr:rowOff>
    </xdr:from>
    <xdr:to>
      <xdr:col>26</xdr:col>
      <xdr:colOff>123826</xdr:colOff>
      <xdr:row>41</xdr:row>
      <xdr:rowOff>171450</xdr:rowOff>
    </xdr:to>
    <xdr:sp macro="" textlink="">
      <xdr:nvSpPr>
        <xdr:cNvPr id="9" name="上下矢印 8">
          <a:extLst>
            <a:ext uri="{FF2B5EF4-FFF2-40B4-BE49-F238E27FC236}">
              <a16:creationId xmlns:a16="http://schemas.microsoft.com/office/drawing/2014/main" id="{00000000-0008-0000-0000-000009000000}"/>
            </a:ext>
          </a:extLst>
        </xdr:cNvPr>
        <xdr:cNvSpPr/>
      </xdr:nvSpPr>
      <xdr:spPr>
        <a:xfrm>
          <a:off x="7781926" y="10553700"/>
          <a:ext cx="266700" cy="657225"/>
        </a:xfrm>
        <a:prstGeom prst="upDown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247650</xdr:colOff>
      <xdr:row>37</xdr:row>
      <xdr:rowOff>0</xdr:rowOff>
    </xdr:from>
    <xdr:to>
      <xdr:col>25</xdr:col>
      <xdr:colOff>0</xdr:colOff>
      <xdr:row>37</xdr:row>
      <xdr:rowOff>152400</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7562850" y="9353550"/>
          <a:ext cx="57150" cy="1524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257175</xdr:colOff>
      <xdr:row>41</xdr:row>
      <xdr:rowOff>171450</xdr:rowOff>
    </xdr:from>
    <xdr:to>
      <xdr:col>25</xdr:col>
      <xdr:colOff>9525</xdr:colOff>
      <xdr:row>42</xdr:row>
      <xdr:rowOff>19050</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7572375" y="10744200"/>
          <a:ext cx="57150" cy="1524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39</xdr:row>
      <xdr:rowOff>0</xdr:rowOff>
    </xdr:from>
    <xdr:to>
      <xdr:col>10</xdr:col>
      <xdr:colOff>209550</xdr:colOff>
      <xdr:row>39</xdr:row>
      <xdr:rowOff>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71450" y="9963150"/>
          <a:ext cx="3086100" cy="0"/>
        </a:xfrm>
        <a:prstGeom prst="line">
          <a:avLst/>
        </a:prstGeom>
        <a:ln w="19050">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180975</xdr:colOff>
      <xdr:row>42</xdr:row>
      <xdr:rowOff>9525</xdr:rowOff>
    </xdr:from>
    <xdr:to>
      <xdr:col>10</xdr:col>
      <xdr:colOff>219075</xdr:colOff>
      <xdr:row>42</xdr:row>
      <xdr:rowOff>9525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80975" y="10887075"/>
          <a:ext cx="3086100" cy="0"/>
        </a:xfrm>
        <a:prstGeom prst="line">
          <a:avLst/>
        </a:prstGeom>
        <a:ln w="19050">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180975</xdr:colOff>
      <xdr:row>46</xdr:row>
      <xdr:rowOff>9525</xdr:rowOff>
    </xdr:from>
    <xdr:to>
      <xdr:col>10</xdr:col>
      <xdr:colOff>219075</xdr:colOff>
      <xdr:row>46</xdr:row>
      <xdr:rowOff>9525</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180975" y="12106275"/>
          <a:ext cx="3086100" cy="0"/>
        </a:xfrm>
        <a:prstGeom prst="line">
          <a:avLst/>
        </a:prstGeom>
        <a:ln w="19050">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38100</xdr:colOff>
      <xdr:row>3</xdr:row>
      <xdr:rowOff>47625</xdr:rowOff>
    </xdr:from>
    <xdr:to>
      <xdr:col>43</xdr:col>
      <xdr:colOff>276225</xdr:colOff>
      <xdr:row>4</xdr:row>
      <xdr:rowOff>219075</xdr:rowOff>
    </xdr:to>
    <xdr:sp macro="" textlink="">
      <xdr:nvSpPr>
        <xdr:cNvPr id="40" name="角丸四角形 39">
          <a:hlinkClick xmlns:r="http://schemas.openxmlformats.org/officeDocument/2006/relationships" r:id="rId2"/>
          <a:extLst>
            <a:ext uri="{FF2B5EF4-FFF2-40B4-BE49-F238E27FC236}">
              <a16:creationId xmlns:a16="http://schemas.microsoft.com/office/drawing/2014/main" id="{00000000-0008-0000-0000-000028000000}"/>
            </a:ext>
          </a:extLst>
        </xdr:cNvPr>
        <xdr:cNvSpPr/>
      </xdr:nvSpPr>
      <xdr:spPr>
        <a:xfrm>
          <a:off x="12230100" y="714375"/>
          <a:ext cx="1152525" cy="476250"/>
        </a:xfrm>
        <a:prstGeom prst="round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1400" b="1">
              <a:latin typeface="+mn-ea"/>
              <a:ea typeface="+mn-ea"/>
            </a:rPr>
            <a:t>使い方へ</a:t>
          </a:r>
        </a:p>
      </xdr:txBody>
    </xdr:sp>
    <xdr:clientData fLocksWithSheet="0"/>
  </xdr:twoCellAnchor>
  <xdr:twoCellAnchor>
    <xdr:from>
      <xdr:col>40</xdr:col>
      <xdr:colOff>38100</xdr:colOff>
      <xdr:row>4</xdr:row>
      <xdr:rowOff>295275</xdr:rowOff>
    </xdr:from>
    <xdr:to>
      <xdr:col>43</xdr:col>
      <xdr:colOff>276225</xdr:colOff>
      <xdr:row>6</xdr:row>
      <xdr:rowOff>161925</xdr:rowOff>
    </xdr:to>
    <xdr:sp macro="" textlink="">
      <xdr:nvSpPr>
        <xdr:cNvPr id="41" name="角丸四角形 40">
          <a:hlinkClick xmlns:r="http://schemas.openxmlformats.org/officeDocument/2006/relationships" r:id="rId3"/>
          <a:extLst>
            <a:ext uri="{FF2B5EF4-FFF2-40B4-BE49-F238E27FC236}">
              <a16:creationId xmlns:a16="http://schemas.microsoft.com/office/drawing/2014/main" id="{00000000-0008-0000-0000-000029000000}"/>
            </a:ext>
          </a:extLst>
        </xdr:cNvPr>
        <xdr:cNvSpPr/>
      </xdr:nvSpPr>
      <xdr:spPr>
        <a:xfrm>
          <a:off x="12230100" y="1266825"/>
          <a:ext cx="1152525" cy="47625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kumimoji="1" lang="ja-JP" altLang="en-US" sz="1400" b="1">
              <a:latin typeface="+mn-ea"/>
              <a:ea typeface="+mn-ea"/>
            </a:rPr>
            <a:t>入力票へ</a:t>
          </a:r>
        </a:p>
      </xdr:txBody>
    </xdr:sp>
    <xdr:clientData fLocksWithSheet="0"/>
  </xdr:twoCellAnchor>
  <xdr:twoCellAnchor>
    <xdr:from>
      <xdr:col>40</xdr:col>
      <xdr:colOff>38100</xdr:colOff>
      <xdr:row>6</xdr:row>
      <xdr:rowOff>247650</xdr:rowOff>
    </xdr:from>
    <xdr:to>
      <xdr:col>43</xdr:col>
      <xdr:colOff>276225</xdr:colOff>
      <xdr:row>8</xdr:row>
      <xdr:rowOff>114300</xdr:rowOff>
    </xdr:to>
    <xdr:sp macro="" textlink="">
      <xdr:nvSpPr>
        <xdr:cNvPr id="42" name="角丸四角形 41">
          <a:hlinkClick xmlns:r="http://schemas.openxmlformats.org/officeDocument/2006/relationships" r:id="rId4"/>
          <a:extLst>
            <a:ext uri="{FF2B5EF4-FFF2-40B4-BE49-F238E27FC236}">
              <a16:creationId xmlns:a16="http://schemas.microsoft.com/office/drawing/2014/main" id="{00000000-0008-0000-0000-00002A000000}"/>
            </a:ext>
          </a:extLst>
        </xdr:cNvPr>
        <xdr:cNvSpPr/>
      </xdr:nvSpPr>
      <xdr:spPr>
        <a:xfrm>
          <a:off x="12230100" y="1828800"/>
          <a:ext cx="1152525" cy="47625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kumimoji="1" lang="ja-JP" altLang="en-US" sz="1400" b="1">
              <a:latin typeface="+mn-ea"/>
              <a:ea typeface="+mn-ea"/>
            </a:rPr>
            <a:t>計算結果へ</a:t>
          </a:r>
        </a:p>
      </xdr:txBody>
    </xdr:sp>
    <xdr:clientData fLocksWithSheet="0"/>
  </xdr:twoCellAnchor>
  <xdr:twoCellAnchor>
    <xdr:from>
      <xdr:col>40</xdr:col>
      <xdr:colOff>47625</xdr:colOff>
      <xdr:row>31</xdr:row>
      <xdr:rowOff>66675</xdr:rowOff>
    </xdr:from>
    <xdr:to>
      <xdr:col>43</xdr:col>
      <xdr:colOff>285750</xdr:colOff>
      <xdr:row>32</xdr:row>
      <xdr:rowOff>238125</xdr:rowOff>
    </xdr:to>
    <xdr:sp macro="" textlink="">
      <xdr:nvSpPr>
        <xdr:cNvPr id="43" name="角丸四角形 42">
          <a:hlinkClick xmlns:r="http://schemas.openxmlformats.org/officeDocument/2006/relationships" r:id="rId5"/>
          <a:extLst>
            <a:ext uri="{FF2B5EF4-FFF2-40B4-BE49-F238E27FC236}">
              <a16:creationId xmlns:a16="http://schemas.microsoft.com/office/drawing/2014/main" id="{00000000-0008-0000-0000-00002B000000}"/>
            </a:ext>
          </a:extLst>
        </xdr:cNvPr>
        <xdr:cNvSpPr/>
      </xdr:nvSpPr>
      <xdr:spPr>
        <a:xfrm>
          <a:off x="12239625" y="8058150"/>
          <a:ext cx="1152525" cy="47625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1400" b="1">
              <a:latin typeface="+mn-ea"/>
              <a:ea typeface="+mn-ea"/>
            </a:rPr>
            <a:t>トップへ</a:t>
          </a:r>
        </a:p>
      </xdr:txBody>
    </xdr:sp>
    <xdr:clientData fLocksWithSheet="0"/>
  </xdr:twoCellAnchor>
  <xdr:twoCellAnchor>
    <xdr:from>
      <xdr:col>40</xdr:col>
      <xdr:colOff>47625</xdr:colOff>
      <xdr:row>33</xdr:row>
      <xdr:rowOff>9525</xdr:rowOff>
    </xdr:from>
    <xdr:to>
      <xdr:col>43</xdr:col>
      <xdr:colOff>285750</xdr:colOff>
      <xdr:row>34</xdr:row>
      <xdr:rowOff>180975</xdr:rowOff>
    </xdr:to>
    <xdr:sp macro="" textlink="">
      <xdr:nvSpPr>
        <xdr:cNvPr id="44" name="角丸四角形 43">
          <a:hlinkClick xmlns:r="http://schemas.openxmlformats.org/officeDocument/2006/relationships" r:id="rId3"/>
          <a:extLst>
            <a:ext uri="{FF2B5EF4-FFF2-40B4-BE49-F238E27FC236}">
              <a16:creationId xmlns:a16="http://schemas.microsoft.com/office/drawing/2014/main" id="{00000000-0008-0000-0000-00002C000000}"/>
            </a:ext>
          </a:extLst>
        </xdr:cNvPr>
        <xdr:cNvSpPr/>
      </xdr:nvSpPr>
      <xdr:spPr>
        <a:xfrm>
          <a:off x="12239625" y="8610600"/>
          <a:ext cx="1152525" cy="47625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kumimoji="1" lang="ja-JP" altLang="en-US" sz="1400" b="1">
              <a:latin typeface="+mn-ea"/>
              <a:ea typeface="+mn-ea"/>
            </a:rPr>
            <a:t>入力票へ</a:t>
          </a:r>
        </a:p>
      </xdr:txBody>
    </xdr:sp>
    <xdr:clientData fLocksWithSheet="0"/>
  </xdr:twoCellAnchor>
  <xdr:twoCellAnchor>
    <xdr:from>
      <xdr:col>40</xdr:col>
      <xdr:colOff>47625</xdr:colOff>
      <xdr:row>34</xdr:row>
      <xdr:rowOff>257175</xdr:rowOff>
    </xdr:from>
    <xdr:to>
      <xdr:col>43</xdr:col>
      <xdr:colOff>285750</xdr:colOff>
      <xdr:row>36</xdr:row>
      <xdr:rowOff>123825</xdr:rowOff>
    </xdr:to>
    <xdr:sp macro="" textlink="">
      <xdr:nvSpPr>
        <xdr:cNvPr id="45" name="角丸四角形 44">
          <a:hlinkClick xmlns:r="http://schemas.openxmlformats.org/officeDocument/2006/relationships" r:id="rId4"/>
          <a:extLst>
            <a:ext uri="{FF2B5EF4-FFF2-40B4-BE49-F238E27FC236}">
              <a16:creationId xmlns:a16="http://schemas.microsoft.com/office/drawing/2014/main" id="{00000000-0008-0000-0000-00002D000000}"/>
            </a:ext>
          </a:extLst>
        </xdr:cNvPr>
        <xdr:cNvSpPr/>
      </xdr:nvSpPr>
      <xdr:spPr>
        <a:xfrm>
          <a:off x="12239625" y="9163050"/>
          <a:ext cx="1152525" cy="47625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kumimoji="1" lang="ja-JP" altLang="en-US" sz="1400" b="1">
              <a:latin typeface="+mn-ea"/>
              <a:ea typeface="+mn-ea"/>
            </a:rPr>
            <a:t>計算結果へ</a:t>
          </a:r>
        </a:p>
      </xdr:txBody>
    </xdr:sp>
    <xdr:clientData fLocksWithSheet="0"/>
  </xdr:twoCellAnchor>
  <xdr:twoCellAnchor>
    <xdr:from>
      <xdr:col>40</xdr:col>
      <xdr:colOff>38100</xdr:colOff>
      <xdr:row>60</xdr:row>
      <xdr:rowOff>19050</xdr:rowOff>
    </xdr:from>
    <xdr:to>
      <xdr:col>43</xdr:col>
      <xdr:colOff>276225</xdr:colOff>
      <xdr:row>62</xdr:row>
      <xdr:rowOff>28575</xdr:rowOff>
    </xdr:to>
    <xdr:sp macro="" textlink="">
      <xdr:nvSpPr>
        <xdr:cNvPr id="46" name="角丸四角形 45">
          <a:hlinkClick xmlns:r="http://schemas.openxmlformats.org/officeDocument/2006/relationships" r:id="rId6"/>
          <a:extLst>
            <a:ext uri="{FF2B5EF4-FFF2-40B4-BE49-F238E27FC236}">
              <a16:creationId xmlns:a16="http://schemas.microsoft.com/office/drawing/2014/main" id="{00000000-0008-0000-0000-00002E000000}"/>
            </a:ext>
          </a:extLst>
        </xdr:cNvPr>
        <xdr:cNvSpPr/>
      </xdr:nvSpPr>
      <xdr:spPr>
        <a:xfrm>
          <a:off x="12230100" y="16344900"/>
          <a:ext cx="1152525" cy="476250"/>
        </a:xfrm>
        <a:prstGeom prst="round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1400" b="1">
              <a:latin typeface="+mn-ea"/>
              <a:ea typeface="+mn-ea"/>
            </a:rPr>
            <a:t>使い方へ</a:t>
          </a:r>
        </a:p>
      </xdr:txBody>
    </xdr:sp>
    <xdr:clientData fLocksWithSheet="0"/>
  </xdr:twoCellAnchor>
  <xdr:twoCellAnchor>
    <xdr:from>
      <xdr:col>40</xdr:col>
      <xdr:colOff>38100</xdr:colOff>
      <xdr:row>62</xdr:row>
      <xdr:rowOff>104775</xdr:rowOff>
    </xdr:from>
    <xdr:to>
      <xdr:col>43</xdr:col>
      <xdr:colOff>276225</xdr:colOff>
      <xdr:row>63</xdr:row>
      <xdr:rowOff>276225</xdr:rowOff>
    </xdr:to>
    <xdr:sp macro="" textlink="">
      <xdr:nvSpPr>
        <xdr:cNvPr id="47" name="角丸四角形 46">
          <a:hlinkClick xmlns:r="http://schemas.openxmlformats.org/officeDocument/2006/relationships" r:id="rId4"/>
          <a:extLst>
            <a:ext uri="{FF2B5EF4-FFF2-40B4-BE49-F238E27FC236}">
              <a16:creationId xmlns:a16="http://schemas.microsoft.com/office/drawing/2014/main" id="{00000000-0008-0000-0000-00002F000000}"/>
            </a:ext>
          </a:extLst>
        </xdr:cNvPr>
        <xdr:cNvSpPr/>
      </xdr:nvSpPr>
      <xdr:spPr>
        <a:xfrm>
          <a:off x="12230100" y="16897350"/>
          <a:ext cx="1152525" cy="47625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kumimoji="1" lang="ja-JP" altLang="en-US" sz="1400" b="1">
              <a:latin typeface="+mn-ea"/>
              <a:ea typeface="+mn-ea"/>
            </a:rPr>
            <a:t>計算結果へ</a:t>
          </a:r>
        </a:p>
      </xdr:txBody>
    </xdr:sp>
    <xdr:clientData fLocksWithSheet="0"/>
  </xdr:twoCellAnchor>
  <xdr:twoCellAnchor>
    <xdr:from>
      <xdr:col>40</xdr:col>
      <xdr:colOff>28575</xdr:colOff>
      <xdr:row>57</xdr:row>
      <xdr:rowOff>342900</xdr:rowOff>
    </xdr:from>
    <xdr:to>
      <xdr:col>43</xdr:col>
      <xdr:colOff>266700</xdr:colOff>
      <xdr:row>59</xdr:row>
      <xdr:rowOff>257175</xdr:rowOff>
    </xdr:to>
    <xdr:sp macro="" textlink="">
      <xdr:nvSpPr>
        <xdr:cNvPr id="48" name="角丸四角形 47">
          <a:hlinkClick xmlns:r="http://schemas.openxmlformats.org/officeDocument/2006/relationships" r:id="rId5"/>
          <a:extLst>
            <a:ext uri="{FF2B5EF4-FFF2-40B4-BE49-F238E27FC236}">
              <a16:creationId xmlns:a16="http://schemas.microsoft.com/office/drawing/2014/main" id="{00000000-0008-0000-0000-000030000000}"/>
            </a:ext>
          </a:extLst>
        </xdr:cNvPr>
        <xdr:cNvSpPr/>
      </xdr:nvSpPr>
      <xdr:spPr>
        <a:xfrm>
          <a:off x="12220575" y="15801975"/>
          <a:ext cx="1152525" cy="47625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1400" b="1">
              <a:latin typeface="+mn-ea"/>
              <a:ea typeface="+mn-ea"/>
            </a:rPr>
            <a:t>トップへ</a:t>
          </a:r>
        </a:p>
      </xdr:txBody>
    </xdr:sp>
    <xdr:clientData fLocksWithSheet="0"/>
  </xdr:twoCellAnchor>
  <xdr:twoCellAnchor>
    <xdr:from>
      <xdr:col>40</xdr:col>
      <xdr:colOff>0</xdr:colOff>
      <xdr:row>85</xdr:row>
      <xdr:rowOff>9524</xdr:rowOff>
    </xdr:from>
    <xdr:to>
      <xdr:col>43</xdr:col>
      <xdr:colOff>238125</xdr:colOff>
      <xdr:row>86</xdr:row>
      <xdr:rowOff>342899</xdr:rowOff>
    </xdr:to>
    <xdr:sp macro="" textlink="">
      <xdr:nvSpPr>
        <xdr:cNvPr id="49" name="角丸四角形 48">
          <a:hlinkClick xmlns:r="http://schemas.openxmlformats.org/officeDocument/2006/relationships" r:id="rId5"/>
          <a:extLst>
            <a:ext uri="{FF2B5EF4-FFF2-40B4-BE49-F238E27FC236}">
              <a16:creationId xmlns:a16="http://schemas.microsoft.com/office/drawing/2014/main" id="{00000000-0008-0000-0000-000031000000}"/>
            </a:ext>
          </a:extLst>
        </xdr:cNvPr>
        <xdr:cNvSpPr/>
      </xdr:nvSpPr>
      <xdr:spPr>
        <a:xfrm>
          <a:off x="12192000" y="24688799"/>
          <a:ext cx="1152525" cy="485775"/>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1400" b="1">
              <a:latin typeface="+mn-ea"/>
              <a:ea typeface="+mn-ea"/>
            </a:rPr>
            <a:t>トップへ</a:t>
          </a:r>
        </a:p>
      </xdr:txBody>
    </xdr:sp>
    <xdr:clientData fLocksWithSheet="0"/>
  </xdr:twoCellAnchor>
  <xdr:twoCellAnchor>
    <xdr:from>
      <xdr:col>40</xdr:col>
      <xdr:colOff>19050</xdr:colOff>
      <xdr:row>87</xdr:row>
      <xdr:rowOff>57150</xdr:rowOff>
    </xdr:from>
    <xdr:to>
      <xdr:col>43</xdr:col>
      <xdr:colOff>257175</xdr:colOff>
      <xdr:row>88</xdr:row>
      <xdr:rowOff>209550</xdr:rowOff>
    </xdr:to>
    <xdr:sp macro="" textlink="">
      <xdr:nvSpPr>
        <xdr:cNvPr id="50" name="角丸四角形 49">
          <a:hlinkClick xmlns:r="http://schemas.openxmlformats.org/officeDocument/2006/relationships" r:id="rId6"/>
          <a:extLst>
            <a:ext uri="{FF2B5EF4-FFF2-40B4-BE49-F238E27FC236}">
              <a16:creationId xmlns:a16="http://schemas.microsoft.com/office/drawing/2014/main" id="{00000000-0008-0000-0000-000032000000}"/>
            </a:ext>
          </a:extLst>
        </xdr:cNvPr>
        <xdr:cNvSpPr/>
      </xdr:nvSpPr>
      <xdr:spPr>
        <a:xfrm>
          <a:off x="12211050" y="25241250"/>
          <a:ext cx="1152525" cy="476250"/>
        </a:xfrm>
        <a:prstGeom prst="round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1400" b="1">
              <a:latin typeface="+mn-ea"/>
              <a:ea typeface="+mn-ea"/>
            </a:rPr>
            <a:t>使い方へ</a:t>
          </a:r>
        </a:p>
      </xdr:txBody>
    </xdr:sp>
    <xdr:clientData fLocksWithSheet="0"/>
  </xdr:twoCellAnchor>
  <xdr:twoCellAnchor>
    <xdr:from>
      <xdr:col>40</xdr:col>
      <xdr:colOff>9525</xdr:colOff>
      <xdr:row>88</xdr:row>
      <xdr:rowOff>285750</xdr:rowOff>
    </xdr:from>
    <xdr:to>
      <xdr:col>43</xdr:col>
      <xdr:colOff>247650</xdr:colOff>
      <xdr:row>90</xdr:row>
      <xdr:rowOff>193675</xdr:rowOff>
    </xdr:to>
    <xdr:sp macro="" textlink="">
      <xdr:nvSpPr>
        <xdr:cNvPr id="51" name="角丸四角形 50">
          <a:hlinkClick xmlns:r="http://schemas.openxmlformats.org/officeDocument/2006/relationships" r:id="rId7"/>
          <a:extLst>
            <a:ext uri="{FF2B5EF4-FFF2-40B4-BE49-F238E27FC236}">
              <a16:creationId xmlns:a16="http://schemas.microsoft.com/office/drawing/2014/main" id="{00000000-0008-0000-0000-000033000000}"/>
            </a:ext>
          </a:extLst>
        </xdr:cNvPr>
        <xdr:cNvSpPr/>
      </xdr:nvSpPr>
      <xdr:spPr>
        <a:xfrm>
          <a:off x="12201525" y="25793700"/>
          <a:ext cx="1152525" cy="479425"/>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kumimoji="1" lang="ja-JP" altLang="en-US" sz="1400" b="1">
              <a:latin typeface="+mn-ea"/>
              <a:ea typeface="+mn-ea"/>
            </a:rPr>
            <a:t>入力票へ</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11</xdr:col>
      <xdr:colOff>304800</xdr:colOff>
      <xdr:row>2</xdr:row>
      <xdr:rowOff>85725</xdr:rowOff>
    </xdr:from>
    <xdr:to>
      <xdr:col>11</xdr:col>
      <xdr:colOff>304800</xdr:colOff>
      <xdr:row>8</xdr:row>
      <xdr:rowOff>2</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V="1">
          <a:off x="7848600" y="561975"/>
          <a:ext cx="0" cy="1343027"/>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iwaki.lg.jp/www/contents/1001000003030/index.html" TargetMode="External"/><Relationship Id="rId1" Type="http://schemas.openxmlformats.org/officeDocument/2006/relationships/hyperlink" Target="https://www.city.iwaki.lg.jp/www/contents/1001000003029/index.html"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L115"/>
  <sheetViews>
    <sheetView tabSelected="1" zoomScaleNormal="100" workbookViewId="0">
      <selection activeCell="AO1" sqref="AO1"/>
    </sheetView>
  </sheetViews>
  <sheetFormatPr defaultRowHeight="24"/>
  <cols>
    <col min="1" max="45" width="4" style="139" customWidth="1"/>
    <col min="46" max="203" width="4" style="139" hidden="1" customWidth="1"/>
    <col min="204" max="204" width="8" style="139" hidden="1" customWidth="1"/>
    <col min="205" max="222" width="4" style="139" hidden="1" customWidth="1"/>
    <col min="223" max="223" width="7.875" style="139" hidden="1" customWidth="1"/>
    <col min="224" max="244" width="4" style="139" hidden="1" customWidth="1"/>
    <col min="245" max="245" width="8" style="139" hidden="1" customWidth="1"/>
    <col min="246" max="246" width="4" style="139" hidden="1" customWidth="1"/>
    <col min="247" max="254" width="4" style="139" customWidth="1"/>
    <col min="255" max="16384" width="9" style="139"/>
  </cols>
  <sheetData>
    <row r="1" spans="1:47" ht="20.25" customHeight="1" thickTop="1">
      <c r="A1" s="391" t="str">
        <f>"いわき市　国民健康保険税額　簡易試算表（"&amp;テーブル!L2&amp;"年度版）"</f>
        <v>いわき市　国民健康保険税額　簡易試算表（令和６年度版）</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3"/>
      <c r="AN1" s="138"/>
      <c r="AO1" s="244"/>
      <c r="AP1" s="138"/>
      <c r="AQ1" s="138"/>
      <c r="AR1" s="138"/>
      <c r="AS1" s="138"/>
      <c r="AT1" s="138"/>
      <c r="AU1" s="138"/>
    </row>
    <row r="2" spans="1:47" ht="20.25" customHeight="1" thickBot="1">
      <c r="A2" s="394"/>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6"/>
      <c r="AN2" s="138"/>
      <c r="AS2" s="138"/>
      <c r="AT2" s="138"/>
      <c r="AU2" s="138"/>
    </row>
    <row r="3" spans="1:47" ht="12" customHeight="1" thickTop="1">
      <c r="A3" s="165"/>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7"/>
      <c r="AN3" s="138"/>
      <c r="AS3" s="138"/>
      <c r="AT3" s="138"/>
      <c r="AU3" s="138"/>
    </row>
    <row r="4" spans="1:47" ht="24" customHeight="1">
      <c r="A4" s="184"/>
      <c r="B4" s="183" t="str">
        <f>"〇　この試算表では"&amp;テーブル!L2&amp;"年度　国民健康保険税の１年間、加入期間（加入月から年度末まで）、１ヶ月あたりの概算額が計算できます。"</f>
        <v>〇　この試算表では令和６年度　国民健康保険税の１年間、加入期間（加入月から年度末まで）、１ヶ月あたりの概算額が計算できます。</v>
      </c>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5"/>
      <c r="AN4" s="138"/>
      <c r="AO4" s="238"/>
      <c r="AP4" s="238"/>
      <c r="AQ4" s="238"/>
      <c r="AR4" s="238"/>
      <c r="AS4" s="138"/>
      <c r="AT4" s="138"/>
      <c r="AU4" s="138"/>
    </row>
    <row r="5" spans="1:47" ht="24" customHeight="1">
      <c r="A5" s="184"/>
      <c r="B5" s="154" t="s">
        <v>294</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5"/>
      <c r="AN5" s="138"/>
      <c r="AO5" s="238"/>
      <c r="AP5" s="238"/>
      <c r="AQ5" s="238"/>
      <c r="AR5" s="238"/>
      <c r="AS5" s="138"/>
      <c r="AT5" s="138"/>
      <c r="AU5" s="138"/>
    </row>
    <row r="6" spans="1:47" ht="24" customHeight="1">
      <c r="A6" s="184"/>
      <c r="B6" s="183" t="s">
        <v>272</v>
      </c>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5"/>
      <c r="AN6" s="138"/>
      <c r="AO6" s="238"/>
      <c r="AP6" s="238"/>
      <c r="AQ6" s="238"/>
      <c r="AR6" s="238"/>
      <c r="AS6" s="138"/>
      <c r="AT6" s="138"/>
      <c r="AU6" s="138"/>
    </row>
    <row r="7" spans="1:47" ht="24" customHeight="1">
      <c r="A7" s="184"/>
      <c r="B7" s="183" t="s">
        <v>323</v>
      </c>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5"/>
      <c r="AN7" s="138"/>
      <c r="AO7" s="238"/>
      <c r="AP7" s="238"/>
      <c r="AQ7" s="238"/>
      <c r="AR7" s="238"/>
      <c r="AS7" s="138"/>
      <c r="AT7" s="138"/>
      <c r="AU7" s="138"/>
    </row>
    <row r="8" spans="1:47" ht="24" customHeight="1">
      <c r="A8" s="184"/>
      <c r="B8" s="183" t="s">
        <v>324</v>
      </c>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5"/>
      <c r="AN8" s="138"/>
      <c r="AO8" s="238"/>
      <c r="AP8" s="238"/>
      <c r="AQ8" s="238"/>
      <c r="AR8" s="238"/>
      <c r="AS8" s="138"/>
      <c r="AT8" s="138"/>
      <c r="AU8" s="138"/>
    </row>
    <row r="9" spans="1:47" ht="24" customHeight="1">
      <c r="A9" s="184"/>
      <c r="B9" s="183" t="s">
        <v>325</v>
      </c>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5"/>
      <c r="AN9" s="138"/>
      <c r="AO9" s="238"/>
      <c r="AP9" s="238"/>
      <c r="AQ9" s="238"/>
      <c r="AR9" s="238"/>
      <c r="AS9" s="138"/>
      <c r="AT9" s="138"/>
      <c r="AU9" s="138"/>
    </row>
    <row r="10" spans="1:47" ht="12" customHeight="1">
      <c r="A10" s="184"/>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5"/>
      <c r="AN10" s="138"/>
      <c r="AO10" s="138"/>
      <c r="AP10" s="138"/>
      <c r="AQ10" s="138"/>
      <c r="AR10" s="138"/>
      <c r="AS10" s="138"/>
      <c r="AT10" s="138"/>
      <c r="AU10" s="138"/>
    </row>
    <row r="11" spans="1:47" ht="24" customHeight="1">
      <c r="A11" s="641" t="s">
        <v>273</v>
      </c>
      <c r="B11" s="642"/>
      <c r="C11" s="642"/>
      <c r="D11" s="642"/>
      <c r="E11" s="642"/>
      <c r="F11" s="642"/>
      <c r="G11" s="642"/>
      <c r="H11" s="642"/>
      <c r="I11" s="642"/>
      <c r="J11" s="642"/>
      <c r="K11" s="642"/>
      <c r="L11" s="642"/>
      <c r="M11" s="642"/>
      <c r="N11" s="642"/>
      <c r="O11" s="642"/>
      <c r="P11" s="642"/>
      <c r="Q11" s="642"/>
      <c r="R11" s="642"/>
      <c r="S11" s="642"/>
      <c r="T11" s="642"/>
      <c r="U11" s="642"/>
      <c r="V11" s="642"/>
      <c r="W11" s="642"/>
      <c r="X11" s="642"/>
      <c r="Y11" s="642"/>
      <c r="Z11" s="642"/>
      <c r="AA11" s="642"/>
      <c r="AB11" s="642"/>
      <c r="AC11" s="642"/>
      <c r="AD11" s="642"/>
      <c r="AE11" s="642"/>
      <c r="AF11" s="642"/>
      <c r="AG11" s="642"/>
      <c r="AH11" s="642"/>
      <c r="AI11" s="642"/>
      <c r="AJ11" s="642"/>
      <c r="AK11" s="642"/>
      <c r="AL11" s="642"/>
      <c r="AM11" s="643"/>
      <c r="AN11" s="138"/>
      <c r="AO11" s="138"/>
      <c r="AP11" s="138"/>
      <c r="AQ11" s="138"/>
      <c r="AR11" s="138"/>
      <c r="AS11" s="138"/>
      <c r="AT11" s="138"/>
      <c r="AU11" s="138"/>
    </row>
    <row r="12" spans="1:47" ht="12" customHeight="1">
      <c r="A12" s="184"/>
      <c r="B12" s="183"/>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5"/>
      <c r="AN12" s="138"/>
      <c r="AO12" s="138"/>
      <c r="AP12" s="138"/>
      <c r="AQ12" s="138"/>
      <c r="AR12" s="138"/>
      <c r="AS12" s="138"/>
      <c r="AT12" s="138"/>
      <c r="AU12" s="138"/>
    </row>
    <row r="13" spans="1:47" ht="24" customHeight="1">
      <c r="A13" s="184"/>
      <c r="B13" s="183" t="s">
        <v>274</v>
      </c>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5"/>
      <c r="AN13" s="138"/>
      <c r="AO13" s="138"/>
      <c r="AP13" s="138"/>
      <c r="AQ13" s="138"/>
      <c r="AR13" s="138"/>
      <c r="AS13" s="138"/>
      <c r="AT13" s="138"/>
      <c r="AU13" s="138"/>
    </row>
    <row r="14" spans="1:47" ht="24" customHeight="1">
      <c r="A14" s="184"/>
      <c r="B14" s="183" t="s">
        <v>295</v>
      </c>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5"/>
      <c r="AN14" s="138"/>
      <c r="AO14" s="138"/>
      <c r="AP14" s="138"/>
      <c r="AQ14" s="138"/>
      <c r="AR14" s="138"/>
      <c r="AS14" s="138"/>
      <c r="AT14" s="138"/>
      <c r="AU14" s="138"/>
    </row>
    <row r="15" spans="1:47" ht="24" customHeight="1">
      <c r="A15" s="184"/>
      <c r="B15" s="183" t="s">
        <v>296</v>
      </c>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5"/>
      <c r="AN15" s="138"/>
      <c r="AO15" s="138"/>
      <c r="AP15" s="138"/>
      <c r="AQ15" s="138"/>
      <c r="AR15" s="138"/>
      <c r="AS15" s="138"/>
      <c r="AT15" s="138"/>
      <c r="AU15" s="138"/>
    </row>
    <row r="16" spans="1:47" ht="24" customHeight="1">
      <c r="A16" s="184"/>
      <c r="B16" s="183" t="s">
        <v>275</v>
      </c>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5"/>
      <c r="AN16" s="138"/>
      <c r="AO16" s="138"/>
      <c r="AP16" s="138"/>
      <c r="AQ16" s="138"/>
      <c r="AR16" s="138"/>
      <c r="AS16" s="138"/>
      <c r="AT16" s="138"/>
      <c r="AU16" s="138"/>
    </row>
    <row r="17" spans="1:47" ht="24" customHeight="1">
      <c r="A17" s="184"/>
      <c r="B17" s="183" t="s">
        <v>356</v>
      </c>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5"/>
      <c r="AN17" s="138"/>
      <c r="AO17" s="138"/>
      <c r="AP17" s="138"/>
      <c r="AQ17" s="138"/>
      <c r="AR17" s="138"/>
      <c r="AS17" s="138"/>
      <c r="AT17" s="138"/>
      <c r="AU17" s="138"/>
    </row>
    <row r="18" spans="1:47" ht="24" customHeight="1">
      <c r="A18" s="184"/>
      <c r="B18" s="183" t="s">
        <v>355</v>
      </c>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5"/>
      <c r="AN18" s="138"/>
      <c r="AO18" s="138"/>
      <c r="AP18" s="138"/>
      <c r="AQ18" s="138"/>
      <c r="AR18" s="138"/>
      <c r="AS18" s="138"/>
      <c r="AT18" s="138"/>
      <c r="AU18" s="138"/>
    </row>
    <row r="19" spans="1:47" ht="24" customHeight="1">
      <c r="A19" s="184"/>
      <c r="B19" s="139" t="s">
        <v>301</v>
      </c>
      <c r="C19" s="183"/>
      <c r="D19" s="183"/>
      <c r="E19" s="183"/>
      <c r="F19" s="183"/>
      <c r="G19" s="183"/>
      <c r="H19" s="183"/>
      <c r="I19" s="215" t="s">
        <v>302</v>
      </c>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5"/>
      <c r="AN19" s="138"/>
      <c r="AO19" s="138"/>
      <c r="AP19" s="138"/>
      <c r="AQ19" s="138"/>
      <c r="AR19" s="138"/>
      <c r="AS19" s="138"/>
      <c r="AT19" s="138"/>
      <c r="AU19" s="138"/>
    </row>
    <row r="20" spans="1:47" ht="24" customHeight="1">
      <c r="A20" s="184"/>
      <c r="B20" s="183" t="str">
        <f>"○　未就学児（"&amp;テーブル!L2&amp;"年度は"&amp;BF64&amp;"以降産まれの方）の均等割額は２分の１で計算されます。"</f>
        <v>○　未就学児（令和６年度は平成30年4月2日以降産まれの方）の均等割額は２分の１で計算されます。</v>
      </c>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5"/>
      <c r="AN20" s="138"/>
      <c r="AO20" s="138"/>
      <c r="AP20" s="138"/>
      <c r="AQ20" s="138"/>
      <c r="AR20" s="138"/>
      <c r="AS20" s="138"/>
      <c r="AT20" s="138"/>
      <c r="AU20" s="138"/>
    </row>
    <row r="21" spans="1:47" ht="12" customHeight="1">
      <c r="A21" s="184"/>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5"/>
      <c r="AN21" s="138"/>
      <c r="AO21" s="138"/>
      <c r="AP21" s="138"/>
      <c r="AQ21" s="138"/>
      <c r="AR21" s="138"/>
      <c r="AS21" s="138"/>
      <c r="AT21" s="138"/>
      <c r="AU21" s="138"/>
    </row>
    <row r="22" spans="1:47" ht="24" customHeight="1">
      <c r="A22" s="184"/>
      <c r="B22" s="183"/>
      <c r="C22" s="199" t="s">
        <v>297</v>
      </c>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5"/>
      <c r="AN22" s="138"/>
      <c r="AO22" s="138"/>
      <c r="AP22" s="138"/>
      <c r="AQ22" s="138"/>
      <c r="AR22" s="138"/>
      <c r="AS22" s="138"/>
      <c r="AT22" s="138"/>
      <c r="AU22" s="138"/>
    </row>
    <row r="23" spans="1:47" ht="24" customHeight="1">
      <c r="A23" s="184"/>
      <c r="B23" s="183"/>
      <c r="C23" s="200" t="s">
        <v>277</v>
      </c>
      <c r="D23" s="200"/>
      <c r="E23" s="200"/>
      <c r="F23" s="200"/>
      <c r="G23" s="200"/>
      <c r="H23" s="200"/>
      <c r="I23" s="200"/>
      <c r="J23" s="200"/>
      <c r="K23" s="200"/>
      <c r="L23" s="200"/>
      <c r="M23" s="200"/>
      <c r="N23" s="200"/>
      <c r="O23" s="200"/>
      <c r="P23" s="200"/>
      <c r="Q23" s="200"/>
      <c r="R23" s="200"/>
      <c r="S23" s="200"/>
      <c r="T23" s="200"/>
      <c r="U23" s="183"/>
      <c r="V23" s="183"/>
      <c r="W23" s="183"/>
      <c r="X23" s="183"/>
      <c r="Y23" s="183"/>
      <c r="Z23" s="183"/>
      <c r="AA23" s="183"/>
      <c r="AB23" s="183"/>
      <c r="AC23" s="183"/>
      <c r="AD23" s="183"/>
      <c r="AE23" s="183"/>
      <c r="AF23" s="183"/>
      <c r="AG23" s="183"/>
      <c r="AH23" s="183"/>
      <c r="AI23" s="183"/>
      <c r="AJ23" s="183"/>
      <c r="AK23" s="183"/>
      <c r="AL23" s="183"/>
      <c r="AM23" s="185"/>
      <c r="AN23" s="138"/>
      <c r="AO23" s="138"/>
      <c r="AP23" s="138"/>
      <c r="AQ23" s="138"/>
      <c r="AR23" s="138"/>
      <c r="AS23" s="138"/>
      <c r="AT23" s="138"/>
      <c r="AU23" s="138"/>
    </row>
    <row r="24" spans="1:47" ht="24" customHeight="1">
      <c r="A24" s="184"/>
      <c r="B24" s="183"/>
      <c r="C24" s="200" t="s">
        <v>276</v>
      </c>
      <c r="D24" s="200"/>
      <c r="E24" s="200"/>
      <c r="F24" s="200"/>
      <c r="G24" s="200"/>
      <c r="H24" s="200"/>
      <c r="I24" s="200"/>
      <c r="J24" s="200"/>
      <c r="K24" s="200"/>
      <c r="L24" s="200"/>
      <c r="M24" s="200"/>
      <c r="N24" s="200"/>
      <c r="O24" s="200"/>
      <c r="P24" s="200"/>
      <c r="Q24" s="200"/>
      <c r="R24" s="200"/>
      <c r="S24" s="200"/>
      <c r="T24" s="200"/>
      <c r="U24" s="200"/>
      <c r="V24" s="200"/>
      <c r="W24" s="200"/>
      <c r="X24" s="200"/>
      <c r="Y24" s="183"/>
      <c r="Z24" s="183"/>
      <c r="AA24" s="183"/>
      <c r="AB24" s="183"/>
      <c r="AC24" s="183"/>
      <c r="AD24" s="183"/>
      <c r="AE24" s="183"/>
      <c r="AF24" s="183"/>
      <c r="AG24" s="183"/>
      <c r="AH24" s="183"/>
      <c r="AI24" s="183"/>
      <c r="AJ24" s="183"/>
      <c r="AK24" s="183"/>
      <c r="AL24" s="183"/>
      <c r="AM24" s="185"/>
      <c r="AN24" s="138"/>
      <c r="AO24" s="138"/>
      <c r="AP24" s="138"/>
      <c r="AQ24" s="138"/>
      <c r="AR24" s="138"/>
      <c r="AS24" s="138"/>
      <c r="AT24" s="138"/>
      <c r="AU24" s="138"/>
    </row>
    <row r="25" spans="1:47" ht="24" customHeight="1">
      <c r="A25" s="184"/>
      <c r="B25" s="183"/>
      <c r="C25" s="200" t="s">
        <v>326</v>
      </c>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183"/>
      <c r="AL25" s="183"/>
      <c r="AM25" s="185"/>
      <c r="AN25" s="138"/>
      <c r="AO25" s="138"/>
      <c r="AP25" s="138"/>
      <c r="AQ25" s="138"/>
      <c r="AR25" s="138"/>
      <c r="AS25" s="138"/>
      <c r="AT25" s="138"/>
      <c r="AU25" s="138"/>
    </row>
    <row r="26" spans="1:47" ht="24" customHeight="1">
      <c r="A26" s="184"/>
      <c r="B26" s="183"/>
      <c r="C26" s="200" t="str">
        <f>"　〇　翌年度分（令和"&amp;テーブル!K3&amp;"年４月から令和"&amp;テーブル!K3+1&amp;"年３月まで）の試算がしたい場合"</f>
        <v>　〇　翌年度分（令和7年４月から令和8年３月まで）の試算がしたい場合</v>
      </c>
      <c r="D26" s="200"/>
      <c r="E26" s="200"/>
      <c r="F26" s="200"/>
      <c r="G26" s="200"/>
      <c r="H26" s="200"/>
      <c r="I26" s="200"/>
      <c r="J26" s="200"/>
      <c r="K26" s="200"/>
      <c r="L26" s="200"/>
      <c r="M26" s="200"/>
      <c r="N26" s="200"/>
      <c r="O26" s="200"/>
      <c r="P26" s="200"/>
      <c r="Q26" s="200"/>
      <c r="R26" s="200"/>
      <c r="S26" s="200"/>
      <c r="T26" s="200"/>
      <c r="U26" s="200"/>
      <c r="V26" s="200"/>
      <c r="W26" s="200"/>
      <c r="X26" s="200"/>
      <c r="Y26" s="183"/>
      <c r="Z26" s="183"/>
      <c r="AA26" s="183"/>
      <c r="AB26" s="183"/>
      <c r="AC26" s="183"/>
      <c r="AD26" s="183"/>
      <c r="AE26" s="183"/>
      <c r="AF26" s="183"/>
      <c r="AG26" s="183"/>
      <c r="AH26" s="183"/>
      <c r="AI26" s="183"/>
      <c r="AJ26" s="183"/>
      <c r="AK26" s="183"/>
      <c r="AL26" s="183"/>
      <c r="AM26" s="185"/>
      <c r="AN26" s="138"/>
      <c r="AO26" s="138"/>
      <c r="AP26" s="138"/>
      <c r="AQ26" s="138"/>
      <c r="AR26" s="138"/>
      <c r="AS26" s="138"/>
      <c r="AT26" s="138"/>
      <c r="AU26" s="138"/>
    </row>
    <row r="27" spans="1:47" ht="24" customHeight="1" thickBot="1">
      <c r="A27" s="186"/>
      <c r="B27" s="187"/>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8"/>
      <c r="AN27" s="138"/>
      <c r="AO27" s="138"/>
      <c r="AP27" s="138"/>
      <c r="AQ27" s="138"/>
      <c r="AR27" s="138"/>
      <c r="AS27" s="138"/>
      <c r="AT27" s="138"/>
      <c r="AU27" s="138"/>
    </row>
    <row r="28" spans="1:47" ht="8.25" customHeight="1">
      <c r="A28" s="189"/>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38"/>
      <c r="AO28" s="138"/>
      <c r="AP28" s="138"/>
      <c r="AQ28" s="138"/>
      <c r="AR28" s="138"/>
      <c r="AS28" s="138"/>
      <c r="AT28" s="138"/>
      <c r="AU28" s="138"/>
    </row>
    <row r="29" spans="1:47" ht="8.25" customHeight="1">
      <c r="A29" s="183"/>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38"/>
      <c r="AO29" s="138"/>
      <c r="AP29" s="138"/>
      <c r="AQ29" s="138"/>
      <c r="AR29" s="138"/>
      <c r="AS29" s="138"/>
      <c r="AT29" s="138"/>
      <c r="AU29" s="138"/>
    </row>
    <row r="30" spans="1:47" ht="8.25" customHeight="1" thickBot="1">
      <c r="A30" s="187"/>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38"/>
      <c r="AO30" s="138"/>
      <c r="AP30" s="138"/>
      <c r="AQ30" s="138"/>
      <c r="AR30" s="138"/>
      <c r="AS30" s="138"/>
      <c r="AT30" s="138"/>
      <c r="AU30" s="138"/>
    </row>
    <row r="31" spans="1:47" ht="12" customHeight="1">
      <c r="A31" s="190"/>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91"/>
      <c r="AN31" s="138"/>
      <c r="AO31" s="240"/>
      <c r="AP31" s="138"/>
      <c r="AQ31" s="138"/>
      <c r="AR31" s="138"/>
      <c r="AS31" s="138"/>
      <c r="AT31" s="138"/>
      <c r="AU31" s="138"/>
    </row>
    <row r="32" spans="1:47" ht="24" customHeight="1">
      <c r="A32" s="192" t="s">
        <v>262</v>
      </c>
      <c r="B32" s="159"/>
      <c r="C32" s="160"/>
      <c r="D32" s="160"/>
      <c r="E32" s="160"/>
      <c r="F32" s="160"/>
      <c r="G32" s="160"/>
      <c r="H32" s="160"/>
      <c r="I32" s="160"/>
      <c r="J32" s="160"/>
      <c r="K32" s="160"/>
      <c r="L32" s="160"/>
      <c r="M32" s="168" t="s">
        <v>261</v>
      </c>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1"/>
      <c r="AO32" s="238"/>
      <c r="AP32" s="238"/>
      <c r="AQ32" s="238"/>
      <c r="AR32" s="238"/>
    </row>
    <row r="33" spans="1:44" ht="24" customHeight="1">
      <c r="B33" s="195"/>
      <c r="C33" s="195"/>
      <c r="D33" s="195"/>
      <c r="E33" s="195"/>
      <c r="F33" s="195"/>
      <c r="G33" s="195"/>
      <c r="H33" s="195"/>
      <c r="I33" s="195"/>
      <c r="J33" s="195"/>
      <c r="K33" s="195"/>
      <c r="L33" s="195"/>
      <c r="M33" s="160"/>
      <c r="N33" s="174" t="s">
        <v>266</v>
      </c>
      <c r="O33" s="160"/>
      <c r="P33" s="160"/>
      <c r="Q33" s="160"/>
      <c r="R33" s="160"/>
      <c r="S33" s="160"/>
      <c r="T33" s="174"/>
      <c r="U33" s="160"/>
      <c r="V33" s="173"/>
      <c r="W33" s="160" t="s">
        <v>263</v>
      </c>
      <c r="X33" s="160"/>
      <c r="Y33" s="160"/>
      <c r="Z33" s="160"/>
      <c r="AA33" s="160"/>
      <c r="AB33" s="171"/>
      <c r="AC33" s="160" t="s">
        <v>264</v>
      </c>
      <c r="AD33" s="160"/>
      <c r="AE33" s="160"/>
      <c r="AF33" s="160"/>
      <c r="AG33" s="172"/>
      <c r="AH33" s="160" t="s">
        <v>265</v>
      </c>
      <c r="AI33" s="160"/>
      <c r="AJ33" s="160"/>
      <c r="AK33" s="160"/>
      <c r="AL33" s="160"/>
      <c r="AM33" s="161"/>
      <c r="AO33" s="238"/>
      <c r="AP33" s="238"/>
      <c r="AQ33" s="238"/>
      <c r="AR33" s="238"/>
    </row>
    <row r="34" spans="1:44" ht="24" customHeight="1">
      <c r="A34" s="198" t="s">
        <v>278</v>
      </c>
      <c r="B34" s="197"/>
      <c r="C34" s="197"/>
      <c r="D34" s="197"/>
      <c r="E34" s="197"/>
      <c r="F34" s="197"/>
      <c r="G34" s="197"/>
      <c r="H34" s="197"/>
      <c r="I34" s="197"/>
      <c r="J34" s="197"/>
      <c r="K34" s="197"/>
      <c r="L34" s="197"/>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1"/>
      <c r="AO34" s="238"/>
      <c r="AP34" s="238"/>
      <c r="AQ34" s="238"/>
      <c r="AR34" s="238"/>
    </row>
    <row r="35" spans="1:44" ht="24" customHeight="1">
      <c r="A35" s="198" t="s">
        <v>303</v>
      </c>
      <c r="B35" s="197"/>
      <c r="C35" s="197"/>
      <c r="D35" s="197"/>
      <c r="E35" s="197"/>
      <c r="F35" s="197"/>
      <c r="G35" s="197"/>
      <c r="H35" s="197"/>
      <c r="I35" s="197"/>
      <c r="J35" s="197"/>
      <c r="K35" s="197"/>
      <c r="L35" s="197"/>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1"/>
      <c r="AO35" s="238"/>
      <c r="AP35" s="238"/>
      <c r="AQ35" s="238"/>
      <c r="AR35" s="238"/>
    </row>
    <row r="36" spans="1:44" ht="24" customHeight="1">
      <c r="A36" s="198" t="s">
        <v>313</v>
      </c>
      <c r="B36" s="197"/>
      <c r="C36" s="197"/>
      <c r="D36" s="197"/>
      <c r="E36" s="197"/>
      <c r="F36" s="197"/>
      <c r="G36" s="197"/>
      <c r="H36" s="197"/>
      <c r="I36" s="197"/>
      <c r="J36" s="197"/>
      <c r="K36" s="197"/>
      <c r="L36" s="197"/>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1"/>
      <c r="AO36" s="238"/>
      <c r="AP36" s="238"/>
      <c r="AQ36" s="238"/>
      <c r="AR36" s="238"/>
    </row>
    <row r="37" spans="1:44" ht="24" customHeight="1">
      <c r="A37" s="198" t="s">
        <v>314</v>
      </c>
      <c r="B37" s="197"/>
      <c r="C37" s="197"/>
      <c r="D37" s="197"/>
      <c r="E37" s="197"/>
      <c r="F37" s="197"/>
      <c r="G37" s="197"/>
      <c r="H37" s="197"/>
      <c r="I37" s="197"/>
      <c r="J37" s="197"/>
      <c r="K37" s="197"/>
      <c r="L37" s="197"/>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1"/>
      <c r="AO37" s="238"/>
      <c r="AP37" s="238"/>
      <c r="AQ37" s="238"/>
      <c r="AR37" s="238"/>
    </row>
    <row r="38" spans="1:44">
      <c r="A38" s="236" t="s">
        <v>321</v>
      </c>
      <c r="B38" s="197"/>
      <c r="C38" s="197"/>
      <c r="D38" s="197"/>
      <c r="E38" s="197"/>
      <c r="F38" s="197"/>
      <c r="G38" s="197"/>
      <c r="H38" s="197"/>
      <c r="I38" s="197"/>
      <c r="J38" s="197"/>
      <c r="K38" s="197"/>
      <c r="L38" s="197"/>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1"/>
    </row>
    <row r="39" spans="1:44">
      <c r="A39" s="236" t="s">
        <v>322</v>
      </c>
      <c r="B39" s="197"/>
      <c r="C39" s="197"/>
      <c r="D39" s="197"/>
      <c r="E39" s="197"/>
      <c r="F39" s="245" t="str">
        <f>"（"&amp;テーブル!L2&amp;"年度課税分は"&amp;LEFT(テーブル!L2,2)&amp;テーブル!K2-1&amp;"年中の収入）"</f>
        <v>（令和６年度課税分は令和5年中の収入）</v>
      </c>
      <c r="G39" s="197"/>
      <c r="H39" s="197"/>
      <c r="I39" s="197"/>
      <c r="J39" s="197"/>
      <c r="K39" s="197"/>
      <c r="L39" s="197"/>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1"/>
    </row>
    <row r="40" spans="1:44">
      <c r="A40" s="196" t="s">
        <v>282</v>
      </c>
      <c r="B40" s="195"/>
      <c r="C40" s="195"/>
      <c r="D40" s="195"/>
      <c r="E40" s="195"/>
      <c r="F40" s="195"/>
      <c r="G40" s="195"/>
      <c r="H40" s="195"/>
      <c r="I40" s="195"/>
      <c r="J40" s="195"/>
      <c r="K40" s="195"/>
      <c r="L40" s="195"/>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1"/>
    </row>
    <row r="41" spans="1:44">
      <c r="A41" s="198" t="s">
        <v>279</v>
      </c>
      <c r="B41" s="195"/>
      <c r="C41" s="195"/>
      <c r="D41" s="195"/>
      <c r="E41" s="195"/>
      <c r="F41" s="195"/>
      <c r="G41" s="195"/>
      <c r="H41" s="195"/>
      <c r="I41" s="195"/>
      <c r="J41" s="195"/>
      <c r="K41" s="195"/>
      <c r="L41" s="195"/>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1"/>
    </row>
    <row r="42" spans="1:44">
      <c r="A42" s="198" t="s">
        <v>280</v>
      </c>
      <c r="B42" s="195"/>
      <c r="C42" s="195"/>
      <c r="D42" s="195"/>
      <c r="E42" s="195"/>
      <c r="F42" s="195"/>
      <c r="G42" s="195"/>
      <c r="H42" s="195"/>
      <c r="I42" s="195"/>
      <c r="J42" s="195"/>
      <c r="K42" s="195"/>
      <c r="L42" s="195"/>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1"/>
    </row>
    <row r="43" spans="1:44">
      <c r="A43" s="196" t="s">
        <v>281</v>
      </c>
      <c r="B43" s="195"/>
      <c r="C43" s="195"/>
      <c r="D43" s="195"/>
      <c r="E43" s="195"/>
      <c r="F43" s="195"/>
      <c r="G43" s="195"/>
      <c r="H43" s="195"/>
      <c r="I43" s="195"/>
      <c r="J43" s="195"/>
      <c r="K43" s="195"/>
      <c r="L43" s="195"/>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1"/>
    </row>
    <row r="44" spans="1:44">
      <c r="A44" s="198" t="s">
        <v>283</v>
      </c>
      <c r="B44" s="195"/>
      <c r="C44" s="195"/>
      <c r="D44" s="195"/>
      <c r="E44" s="195"/>
      <c r="F44" s="195"/>
      <c r="G44" s="195"/>
      <c r="H44" s="195"/>
      <c r="I44" s="195"/>
      <c r="J44" s="195"/>
      <c r="K44" s="195"/>
      <c r="L44" s="195"/>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1"/>
    </row>
    <row r="45" spans="1:44">
      <c r="A45" s="196" t="s">
        <v>284</v>
      </c>
      <c r="B45" s="195"/>
      <c r="C45" s="195"/>
      <c r="D45" s="195"/>
      <c r="E45" s="195"/>
      <c r="F45" s="195"/>
      <c r="G45" s="195"/>
      <c r="H45" s="195"/>
      <c r="I45" s="195"/>
      <c r="J45" s="195"/>
      <c r="K45" s="195"/>
      <c r="L45" s="195"/>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1"/>
    </row>
    <row r="46" spans="1:44">
      <c r="A46" s="198" t="s">
        <v>285</v>
      </c>
      <c r="B46" s="195"/>
      <c r="C46" s="195"/>
      <c r="D46" s="195"/>
      <c r="E46" s="195"/>
      <c r="F46" s="195"/>
      <c r="G46" s="195"/>
      <c r="H46" s="195"/>
      <c r="I46" s="195"/>
      <c r="J46" s="195"/>
      <c r="K46" s="195"/>
      <c r="L46" s="195"/>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1"/>
    </row>
    <row r="47" spans="1:44">
      <c r="A47" s="196" t="s">
        <v>286</v>
      </c>
      <c r="B47" s="195"/>
      <c r="C47" s="195"/>
      <c r="D47" s="195"/>
      <c r="E47" s="195"/>
      <c r="F47" s="195"/>
      <c r="G47" s="195"/>
      <c r="H47" s="195"/>
      <c r="I47" s="195"/>
      <c r="J47" s="195"/>
      <c r="K47" s="195"/>
      <c r="L47" s="195"/>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1"/>
    </row>
    <row r="48" spans="1:44">
      <c r="A48" s="198" t="s">
        <v>287</v>
      </c>
      <c r="B48" s="195"/>
      <c r="C48" s="195"/>
      <c r="D48" s="195"/>
      <c r="E48" s="195"/>
      <c r="F48" s="195"/>
      <c r="G48" s="195"/>
      <c r="H48" s="195"/>
      <c r="I48" s="195"/>
      <c r="J48" s="195"/>
      <c r="K48" s="195"/>
      <c r="L48" s="195"/>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1"/>
    </row>
    <row r="49" spans="1:71">
      <c r="A49" s="198" t="s">
        <v>288</v>
      </c>
      <c r="B49" s="195"/>
      <c r="C49" s="195"/>
      <c r="D49" s="195"/>
      <c r="E49" s="195"/>
      <c r="F49" s="195"/>
      <c r="G49" s="195"/>
      <c r="H49" s="195"/>
      <c r="I49" s="195"/>
      <c r="J49" s="195"/>
      <c r="K49" s="195"/>
      <c r="L49" s="195"/>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1"/>
    </row>
    <row r="50" spans="1:71">
      <c r="A50" s="198" t="s">
        <v>289</v>
      </c>
      <c r="B50" s="195"/>
      <c r="C50" s="195"/>
      <c r="D50" s="195"/>
      <c r="E50" s="195"/>
      <c r="F50" s="195"/>
      <c r="G50" s="195"/>
      <c r="H50" s="195"/>
      <c r="I50" s="195"/>
      <c r="J50" s="195"/>
      <c r="K50" s="195"/>
      <c r="L50" s="195"/>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1"/>
    </row>
    <row r="51" spans="1:71">
      <c r="A51" s="196" t="s">
        <v>290</v>
      </c>
      <c r="B51" s="195"/>
      <c r="C51" s="195"/>
      <c r="D51" s="195"/>
      <c r="E51" s="195"/>
      <c r="F51" s="195"/>
      <c r="G51" s="195"/>
      <c r="H51" s="195"/>
      <c r="I51" s="195"/>
      <c r="J51" s="195"/>
      <c r="K51" s="195"/>
      <c r="L51" s="195"/>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1"/>
    </row>
    <row r="52" spans="1:71">
      <c r="A52" s="198" t="s">
        <v>291</v>
      </c>
      <c r="B52" s="195"/>
      <c r="C52" s="195"/>
      <c r="D52" s="195"/>
      <c r="E52" s="195"/>
      <c r="F52" s="195"/>
      <c r="G52" s="195"/>
      <c r="H52" s="195"/>
      <c r="I52" s="195"/>
      <c r="J52" s="195"/>
      <c r="M52" s="197" t="s">
        <v>320</v>
      </c>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1"/>
    </row>
    <row r="53" spans="1:71">
      <c r="A53" s="198" t="s">
        <v>292</v>
      </c>
      <c r="B53" s="195"/>
      <c r="C53" s="195"/>
      <c r="D53" s="195"/>
      <c r="E53" s="195"/>
      <c r="F53" s="195"/>
      <c r="G53" s="195"/>
      <c r="H53" s="195"/>
      <c r="I53" s="195"/>
      <c r="J53" s="195"/>
      <c r="L53" s="195"/>
      <c r="M53" s="195" t="s">
        <v>318</v>
      </c>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1"/>
    </row>
    <row r="54" spans="1:71">
      <c r="A54" s="198" t="s">
        <v>293</v>
      </c>
      <c r="B54" s="195"/>
      <c r="C54" s="195"/>
      <c r="D54" s="195"/>
      <c r="E54" s="195"/>
      <c r="F54" s="195"/>
      <c r="G54" s="195"/>
      <c r="H54" s="195"/>
      <c r="I54" s="195"/>
      <c r="J54" s="195"/>
      <c r="L54" s="195"/>
      <c r="M54" s="195" t="s">
        <v>319</v>
      </c>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1"/>
    </row>
    <row r="55" spans="1:71" ht="12" customHeight="1" thickBot="1">
      <c r="A55" s="193"/>
      <c r="B55" s="194"/>
      <c r="C55" s="194"/>
      <c r="D55" s="194"/>
      <c r="E55" s="194"/>
      <c r="F55" s="194"/>
      <c r="G55" s="194"/>
      <c r="H55" s="194"/>
      <c r="I55" s="194"/>
      <c r="J55" s="194"/>
      <c r="K55" s="194"/>
      <c r="L55" s="194"/>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4"/>
      <c r="AO55" s="243"/>
    </row>
    <row r="56" spans="1:71" ht="12" customHeight="1">
      <c r="A56" s="237"/>
      <c r="B56" s="237"/>
      <c r="C56" s="237"/>
      <c r="D56" s="237"/>
      <c r="E56" s="237"/>
      <c r="F56" s="237"/>
      <c r="G56" s="237"/>
      <c r="H56" s="237"/>
      <c r="I56" s="237"/>
      <c r="J56" s="237"/>
      <c r="K56" s="237"/>
      <c r="L56" s="237"/>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row>
    <row r="57" spans="1:71" ht="12" customHeight="1" thickBot="1">
      <c r="A57" s="194"/>
      <c r="B57" s="194"/>
      <c r="C57" s="194"/>
      <c r="D57" s="194"/>
      <c r="E57" s="194"/>
      <c r="F57" s="194"/>
      <c r="G57" s="194"/>
      <c r="H57" s="194"/>
      <c r="I57" s="194"/>
      <c r="J57" s="194"/>
      <c r="K57" s="194"/>
      <c r="L57" s="194"/>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3"/>
      <c r="AK57" s="163"/>
      <c r="AL57" s="163"/>
      <c r="AM57" s="163"/>
    </row>
    <row r="58" spans="1:71" ht="30.75" customHeight="1" thickBot="1">
      <c r="A58" s="370" t="s">
        <v>298</v>
      </c>
      <c r="B58" s="371"/>
      <c r="C58" s="371"/>
      <c r="D58" s="371"/>
      <c r="E58" s="371"/>
      <c r="F58" s="371"/>
      <c r="G58" s="371"/>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2"/>
      <c r="AO58" s="243"/>
    </row>
    <row r="59" spans="1:71" ht="13.5" customHeight="1">
      <c r="A59" s="155"/>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7"/>
      <c r="AO59" s="238"/>
      <c r="AP59" s="238"/>
      <c r="AQ59" s="238"/>
      <c r="AR59" s="238"/>
    </row>
    <row r="60" spans="1:71" ht="24" customHeight="1">
      <c r="A60" s="158"/>
      <c r="B60" s="160" t="s">
        <v>315</v>
      </c>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1"/>
      <c r="AO60" s="238"/>
      <c r="AP60" s="238"/>
      <c r="AQ60" s="238"/>
      <c r="AR60" s="238"/>
      <c r="AW60" s="331" t="s">
        <v>219</v>
      </c>
      <c r="AX60" s="331"/>
      <c r="AY60" s="331"/>
      <c r="AZ60" s="331" t="s">
        <v>34</v>
      </c>
      <c r="BA60" s="331"/>
      <c r="BB60" s="331"/>
      <c r="BC60" s="331" t="s">
        <v>127</v>
      </c>
      <c r="BD60" s="331"/>
      <c r="BE60" s="331"/>
      <c r="BF60" s="331" t="s">
        <v>157</v>
      </c>
      <c r="BG60" s="331"/>
      <c r="BH60" s="331"/>
      <c r="BI60" s="331"/>
      <c r="BJ60" s="331"/>
      <c r="BK60" s="331" t="s">
        <v>234</v>
      </c>
      <c r="BL60" s="331"/>
      <c r="BM60" s="331"/>
      <c r="BN60" s="331" t="s">
        <v>251</v>
      </c>
      <c r="BO60" s="331"/>
      <c r="BP60" s="331"/>
      <c r="BQ60" s="331" t="s">
        <v>235</v>
      </c>
      <c r="BR60" s="331"/>
      <c r="BS60" s="331"/>
    </row>
    <row r="61" spans="1:71" ht="12" customHeight="1" thickBot="1">
      <c r="A61" s="158"/>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0"/>
      <c r="AM61" s="161"/>
      <c r="AO61" s="238"/>
      <c r="AP61" s="238"/>
      <c r="AQ61" s="238"/>
      <c r="AR61" s="238"/>
      <c r="AW61" s="331"/>
      <c r="AX61" s="331"/>
      <c r="AY61" s="331"/>
      <c r="AZ61" s="331"/>
      <c r="BA61" s="331"/>
      <c r="BB61" s="331"/>
      <c r="BC61" s="331"/>
      <c r="BD61" s="331"/>
      <c r="BE61" s="331"/>
      <c r="BF61" s="331"/>
      <c r="BG61" s="331"/>
      <c r="BH61" s="331"/>
      <c r="BI61" s="331"/>
      <c r="BJ61" s="331"/>
      <c r="BK61" s="331"/>
      <c r="BL61" s="331"/>
      <c r="BM61" s="331"/>
      <c r="BN61" s="331"/>
      <c r="BO61" s="331"/>
      <c r="BP61" s="331"/>
      <c r="BQ61" s="331"/>
      <c r="BR61" s="331"/>
      <c r="BS61" s="331"/>
    </row>
    <row r="62" spans="1:71" ht="24.75" customHeight="1" thickBot="1">
      <c r="A62" s="158"/>
      <c r="B62" s="140"/>
      <c r="C62" s="632" t="str">
        <f ca="1">TEXT(TODAY(),"ggg")</f>
        <v>令和</v>
      </c>
      <c r="D62" s="632"/>
      <c r="E62" s="633">
        <v>6</v>
      </c>
      <c r="F62" s="633"/>
      <c r="G62" s="141" t="s">
        <v>35</v>
      </c>
      <c r="H62" s="634">
        <v>4</v>
      </c>
      <c r="I62" s="634"/>
      <c r="J62" s="141" t="s">
        <v>12</v>
      </c>
      <c r="K62" s="141"/>
      <c r="L62" s="142"/>
      <c r="M62" s="160"/>
      <c r="N62" s="160"/>
      <c r="O62" s="168" t="str">
        <f ca="1">IF(BC64&lt;AZ64,"※　現時点では翌年度の税率等が確定していないため、試算ができません。","")</f>
        <v/>
      </c>
      <c r="P62" s="160"/>
      <c r="Q62" s="160"/>
      <c r="R62" s="160"/>
      <c r="S62" s="160"/>
      <c r="T62" s="160"/>
      <c r="U62" s="160"/>
      <c r="V62" s="160"/>
      <c r="W62" s="160"/>
      <c r="X62" s="160"/>
      <c r="Y62" s="160"/>
      <c r="Z62" s="160"/>
      <c r="AA62" s="160"/>
      <c r="AB62" s="160"/>
      <c r="AC62" s="160"/>
      <c r="AD62" s="160"/>
      <c r="AE62" s="160"/>
      <c r="AF62" s="160"/>
      <c r="AG62" s="160"/>
      <c r="AH62" s="160"/>
      <c r="AI62" s="160"/>
      <c r="AJ62" s="160"/>
      <c r="AK62" s="160"/>
      <c r="AL62" s="160"/>
      <c r="AM62" s="161"/>
      <c r="AO62" s="238"/>
      <c r="AP62" s="238"/>
      <c r="AQ62" s="238"/>
      <c r="AR62" s="238"/>
      <c r="AW62" s="373">
        <f>テーブル!K2</f>
        <v>6</v>
      </c>
      <c r="AX62" s="373"/>
      <c r="AY62" s="373"/>
      <c r="AZ62" s="387">
        <f ca="1">IF(H62="","",DATEVALUE(VLOOKUP(C62,テーブル!A2:B4,2,FALSE)&amp;IF(H62+1&gt;12,E62+1,E62)&amp;"."&amp;IF(H62+1&gt;12,H62+1-12,H62+1)&amp;".1")-1)</f>
        <v>45412</v>
      </c>
      <c r="BA62" s="387"/>
      <c r="BB62" s="387"/>
      <c r="BC62" s="387">
        <f ca="1">TODAY()</f>
        <v>45729</v>
      </c>
      <c r="BD62" s="387"/>
      <c r="BE62" s="387"/>
      <c r="BF62" s="387">
        <f>VLOOKUP(AW62,案分率等!A4:AY60,案分率等!AC1,FALSE)</f>
        <v>43192</v>
      </c>
      <c r="BG62" s="387"/>
      <c r="BH62" s="387"/>
      <c r="BI62" s="373" t="s">
        <v>158</v>
      </c>
      <c r="BJ62" s="373"/>
      <c r="BK62" s="387">
        <f ca="1">DATEVALUE(VLOOKUP(C62,テーブル!A2:B4,2,FALSE)&amp;AW62+1&amp;".3.31")</f>
        <v>45747</v>
      </c>
      <c r="BL62" s="387"/>
      <c r="BM62" s="387"/>
      <c r="BN62" s="480">
        <f ca="1">DATEVALUE(VLOOKUP(C62,テーブル!A2:B4,2,FALSE)&amp;AW62&amp;".4.1")</f>
        <v>45383</v>
      </c>
      <c r="BO62" s="480"/>
      <c r="BP62" s="480"/>
      <c r="BQ62" s="373">
        <f ca="1">ROUNDDOWN(ROUNDDOWN(BK62-AZ62,0)/30+1,0)</f>
        <v>12</v>
      </c>
      <c r="BR62" s="373"/>
      <c r="BS62" s="373"/>
    </row>
    <row r="63" spans="1:71" ht="24" customHeight="1">
      <c r="A63" s="158"/>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1"/>
      <c r="AO63" s="238"/>
      <c r="AP63" s="238"/>
      <c r="AQ63" s="238"/>
      <c r="AR63" s="238"/>
      <c r="AW63" s="373"/>
      <c r="AX63" s="373"/>
      <c r="AY63" s="373"/>
      <c r="AZ63" s="387"/>
      <c r="BA63" s="387"/>
      <c r="BB63" s="387"/>
      <c r="BC63" s="387"/>
      <c r="BD63" s="387"/>
      <c r="BE63" s="387"/>
      <c r="BF63" s="387"/>
      <c r="BG63" s="387"/>
      <c r="BH63" s="387"/>
      <c r="BI63" s="373"/>
      <c r="BJ63" s="373"/>
      <c r="BK63" s="387"/>
      <c r="BL63" s="387"/>
      <c r="BM63" s="387"/>
      <c r="BN63" s="480"/>
      <c r="BO63" s="480"/>
      <c r="BP63" s="480"/>
      <c r="BQ63" s="373"/>
      <c r="BR63" s="373"/>
      <c r="BS63" s="373"/>
    </row>
    <row r="64" spans="1:71" ht="24" customHeight="1">
      <c r="A64" s="158"/>
      <c r="B64" s="160" t="s">
        <v>252</v>
      </c>
      <c r="C64" s="160"/>
      <c r="D64" s="160"/>
      <c r="E64" s="160"/>
      <c r="F64" s="160"/>
      <c r="G64" s="160"/>
      <c r="H64" s="160"/>
      <c r="I64" s="160"/>
      <c r="J64" s="160"/>
      <c r="K64" s="160"/>
      <c r="L64" s="160"/>
      <c r="M64" s="160"/>
      <c r="N64" s="160"/>
      <c r="O64" s="160"/>
      <c r="P64" s="160"/>
      <c r="Q64" s="583" t="str">
        <f ca="1">IF(A68="×",VLOOKUP(AZ82,テーブル!M2:N4,2,FALSE),"")</f>
        <v/>
      </c>
      <c r="R64" s="583"/>
      <c r="S64" s="583"/>
      <c r="T64" s="583"/>
      <c r="U64" s="583"/>
      <c r="V64" s="583"/>
      <c r="W64" s="583"/>
      <c r="X64" s="583"/>
      <c r="Y64" s="583"/>
      <c r="Z64" s="583"/>
      <c r="AA64" s="583"/>
      <c r="AB64" s="583"/>
      <c r="AC64" s="583"/>
      <c r="AD64" s="583"/>
      <c r="AE64" s="583"/>
      <c r="AF64" s="583"/>
      <c r="AG64" s="583"/>
      <c r="AH64" s="583"/>
      <c r="AI64" s="583"/>
      <c r="AJ64" s="583"/>
      <c r="AK64" s="583"/>
      <c r="AL64" s="583"/>
      <c r="AM64" s="161"/>
      <c r="AO64" s="238"/>
      <c r="AP64" s="238"/>
      <c r="AQ64" s="238"/>
      <c r="AR64" s="238"/>
      <c r="AW64" s="344"/>
      <c r="AX64" s="345"/>
      <c r="AY64" s="345"/>
      <c r="AZ64" s="390">
        <f ca="1">IF(AZ62="",0,YEAR(EOMONTH(AZ62,-3)))</f>
        <v>2024</v>
      </c>
      <c r="BA64" s="390"/>
      <c r="BB64" s="390"/>
      <c r="BC64" s="346">
        <f ca="1">YEAR(EOMONTH(BC62,-3))</f>
        <v>2024</v>
      </c>
      <c r="BD64" s="346"/>
      <c r="BE64" s="346"/>
      <c r="BF64" s="644" t="str">
        <f>TEXT(BF62,"ggge年m月d日")</f>
        <v>平成30年4月2日</v>
      </c>
      <c r="BG64" s="645"/>
      <c r="BH64" s="646"/>
      <c r="BN64" s="346">
        <f ca="1">YEAR(EOMONTH(BN62,-3))</f>
        <v>2024</v>
      </c>
      <c r="BO64" s="346"/>
      <c r="BP64" s="346"/>
    </row>
    <row r="65" spans="1:245" ht="12" customHeight="1" thickBot="1">
      <c r="A65" s="158"/>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1"/>
    </row>
    <row r="66" spans="1:245">
      <c r="A66" s="158"/>
      <c r="B66" s="599" t="s">
        <v>5</v>
      </c>
      <c r="C66" s="600"/>
      <c r="D66" s="600"/>
      <c r="E66" s="601"/>
      <c r="F66" s="608" t="s">
        <v>0</v>
      </c>
      <c r="G66" s="609"/>
      <c r="H66" s="609"/>
      <c r="I66" s="609"/>
      <c r="J66" s="609"/>
      <c r="K66" s="609"/>
      <c r="L66" s="609"/>
      <c r="M66" s="610"/>
      <c r="N66" s="635" t="str">
        <f ca="1">"前年中（"&amp;C62&amp;AW62-1&amp;"年中）の収入に関する情報"</f>
        <v>前年中（令和5年中）の収入に関する情報</v>
      </c>
      <c r="O66" s="612"/>
      <c r="P66" s="612"/>
      <c r="Q66" s="612"/>
      <c r="R66" s="612"/>
      <c r="S66" s="612"/>
      <c r="T66" s="612"/>
      <c r="U66" s="612"/>
      <c r="V66" s="612"/>
      <c r="W66" s="612"/>
      <c r="X66" s="612"/>
      <c r="Y66" s="612"/>
      <c r="Z66" s="612"/>
      <c r="AA66" s="612"/>
      <c r="AB66" s="613"/>
      <c r="AC66" s="615" t="s">
        <v>4</v>
      </c>
      <c r="AD66" s="616"/>
      <c r="AE66" s="616"/>
      <c r="AF66" s="616"/>
      <c r="AG66" s="617"/>
      <c r="AH66" s="169" t="str">
        <f>IF(ISERROR(BB67),"",IF(AND(BB67=1,BP67=1),"※　75歳以上の方は",""))</f>
        <v/>
      </c>
      <c r="AI66" s="160"/>
      <c r="AJ66" s="160"/>
      <c r="AK66" s="160"/>
      <c r="AL66" s="160"/>
      <c r="AM66" s="161"/>
      <c r="AU66" s="220" t="s">
        <v>305</v>
      </c>
      <c r="AV66" s="220" t="s">
        <v>306</v>
      </c>
      <c r="AW66" s="331" t="s">
        <v>25</v>
      </c>
      <c r="AX66" s="331"/>
      <c r="AY66" s="331"/>
      <c r="AZ66" s="331" t="s">
        <v>36</v>
      </c>
      <c r="BA66" s="331"/>
      <c r="BB66" s="331" t="s">
        <v>128</v>
      </c>
      <c r="BC66" s="331"/>
      <c r="BD66" s="331" t="s">
        <v>26</v>
      </c>
      <c r="BE66" s="331"/>
      <c r="BF66" s="331"/>
      <c r="BG66" s="331" t="s">
        <v>27</v>
      </c>
      <c r="BH66" s="331"/>
      <c r="BI66" s="331"/>
      <c r="BJ66" s="331" t="s">
        <v>28</v>
      </c>
      <c r="BK66" s="331"/>
      <c r="BL66" s="331"/>
      <c r="BM66" s="492" t="s">
        <v>218</v>
      </c>
      <c r="BN66" s="492"/>
      <c r="BO66" s="492"/>
      <c r="BP66" s="331" t="s">
        <v>29</v>
      </c>
      <c r="BQ66" s="331"/>
      <c r="BR66" s="331" t="s">
        <v>221</v>
      </c>
      <c r="BS66" s="331"/>
    </row>
    <row r="67" spans="1:245">
      <c r="A67" s="158"/>
      <c r="B67" s="602"/>
      <c r="C67" s="603"/>
      <c r="D67" s="603"/>
      <c r="E67" s="604"/>
      <c r="F67" s="614" t="s">
        <v>13</v>
      </c>
      <c r="G67" s="580"/>
      <c r="H67" s="580" t="s">
        <v>14</v>
      </c>
      <c r="I67" s="580"/>
      <c r="J67" s="580" t="s">
        <v>15</v>
      </c>
      <c r="K67" s="580"/>
      <c r="L67" s="580" t="s">
        <v>16</v>
      </c>
      <c r="M67" s="581"/>
      <c r="N67" s="579" t="s">
        <v>1</v>
      </c>
      <c r="O67" s="331"/>
      <c r="P67" s="331"/>
      <c r="Q67" s="331"/>
      <c r="R67" s="331"/>
      <c r="S67" s="331" t="s">
        <v>2</v>
      </c>
      <c r="T67" s="331"/>
      <c r="U67" s="331"/>
      <c r="V67" s="331"/>
      <c r="W67" s="331"/>
      <c r="X67" s="331" t="s">
        <v>3</v>
      </c>
      <c r="Y67" s="331"/>
      <c r="Z67" s="331"/>
      <c r="AA67" s="331"/>
      <c r="AB67" s="582"/>
      <c r="AC67" s="584"/>
      <c r="AD67" s="329"/>
      <c r="AE67" s="329"/>
      <c r="AF67" s="329"/>
      <c r="AG67" s="585"/>
      <c r="AH67" s="169" t="str">
        <f>IF(ISERROR(BB67),"",IF(AND(BB67=1,BP67=1),"　後期高齢者医療保",""))</f>
        <v/>
      </c>
      <c r="AI67" s="160"/>
      <c r="AJ67" s="160"/>
      <c r="AK67" s="160"/>
      <c r="AL67" s="160"/>
      <c r="AM67" s="161"/>
      <c r="AU67" s="331">
        <f ca="1">IF($O$62="",IF(ISERROR(DATEVALUE(VLOOKUP(F68,テーブル!$A$2:$B$4,2,FALSE)&amp;H68&amp;"."&amp;J68&amp;"."&amp;L68)),IF(F68="",0,1),IF(DATEVALUE(VLOOKUP(F68,テーブル!$A$2:$B$4,2,FALSE)&amp;H68&amp;"."&amp;J68&amp;"."&amp;L68)&gt;$BK$62,1,0)),1)</f>
        <v>0</v>
      </c>
      <c r="AV67" s="331">
        <f>IF(BP67=0,0,IF(ISERROR(DATEVALUE(VLOOKUP(F68,テーブル!$A$2:$B$4,2,FALSE)&amp;H68&amp;"."&amp;J68&amp;"."&amp;L68)),IF(F68="",0,1),IF(ROUNDDOWN(YEARFRAC(DATEVALUE(VLOOKUP(F68,テーブル!$A$2:$B$4,2,FALSE)&amp;H68&amp;"."&amp;J68&amp;"."&amp;L68),$AZ$62,1),0)&gt;74,1,0)))</f>
        <v>0</v>
      </c>
      <c r="AW67" s="387" t="str">
        <f>IF(F68="","",IF(DATEVALUE(VLOOKUP(F68,テーブル!A2:B4,2,FALSE)&amp;H68&amp;"."&amp;J68&amp;"."&amp;L68)&gt;BK62,"",DATEVALUE(VLOOKUP(F68,テーブル!A2:B4,2,FALSE)&amp;H68&amp;"."&amp;J68&amp;"."&amp;L68)))</f>
        <v/>
      </c>
      <c r="AX67" s="387"/>
      <c r="AY67" s="387"/>
      <c r="AZ67" s="373" t="str">
        <f>IF(AW67="","",ROUNDDOWN(YEARFRAC(AW67,$AZ$62,1),0))</f>
        <v/>
      </c>
      <c r="BA67" s="373"/>
      <c r="BB67" s="373">
        <f>IF(AW67="",0,IF(AZ67&gt;74,1,0))</f>
        <v>0</v>
      </c>
      <c r="BC67" s="373"/>
      <c r="BD67" s="348">
        <f>N68</f>
        <v>0</v>
      </c>
      <c r="BE67" s="348"/>
      <c r="BF67" s="348"/>
      <c r="BG67" s="348">
        <f>S68</f>
        <v>0</v>
      </c>
      <c r="BH67" s="348"/>
      <c r="BI67" s="348"/>
      <c r="BJ67" s="348">
        <f>X68</f>
        <v>0</v>
      </c>
      <c r="BK67" s="348"/>
      <c r="BL67" s="348"/>
      <c r="BM67" s="498">
        <f>IF(ISERROR(所得換算!F111),"",所得換算!F111)</f>
        <v>0</v>
      </c>
      <c r="BN67" s="373"/>
      <c r="BO67" s="373"/>
      <c r="BP67" s="373" t="str">
        <f>IF(ISERROR(VLOOKUP(AC68,テーブル!E2:F3,2,FALSE)),"",VLOOKUP(AC68,テーブル!E2:F3,2,FALSE))</f>
        <v/>
      </c>
      <c r="BQ67" s="373"/>
      <c r="BR67" s="373" t="str">
        <f>IF(BP67=1,"",IF(BD67&gt;550000,1,IF(65&gt;AZ67,IF(BG67&gt;600000,1,""),IF(BG67&gt;1250000,1,""))))</f>
        <v/>
      </c>
      <c r="BS67" s="373"/>
    </row>
    <row r="68" spans="1:245">
      <c r="A68" s="374" t="str">
        <f ca="1">IF(AU67+AV67&gt;0,"×","")</f>
        <v/>
      </c>
      <c r="B68" s="602"/>
      <c r="C68" s="603"/>
      <c r="D68" s="603"/>
      <c r="E68" s="604"/>
      <c r="F68" s="618"/>
      <c r="G68" s="619"/>
      <c r="H68" s="620"/>
      <c r="I68" s="620"/>
      <c r="J68" s="620"/>
      <c r="K68" s="620"/>
      <c r="L68" s="620"/>
      <c r="M68" s="621"/>
      <c r="N68" s="622"/>
      <c r="O68" s="623"/>
      <c r="P68" s="623"/>
      <c r="Q68" s="623"/>
      <c r="R68" s="623"/>
      <c r="S68" s="575"/>
      <c r="T68" s="575"/>
      <c r="U68" s="575"/>
      <c r="V68" s="575"/>
      <c r="W68" s="575"/>
      <c r="X68" s="575"/>
      <c r="Y68" s="575"/>
      <c r="Z68" s="575"/>
      <c r="AA68" s="575"/>
      <c r="AB68" s="576"/>
      <c r="AC68" s="593"/>
      <c r="AD68" s="594"/>
      <c r="AE68" s="594"/>
      <c r="AF68" s="594"/>
      <c r="AG68" s="595"/>
      <c r="AH68" s="169" t="str">
        <f>IF(ISERROR(BB67),"",IF(AND(BB67=1,BP67=1),"　険への加入になり",""))</f>
        <v/>
      </c>
      <c r="AI68" s="160"/>
      <c r="AJ68" s="160"/>
      <c r="AK68" s="160"/>
      <c r="AL68" s="160"/>
      <c r="AM68" s="161"/>
      <c r="AU68" s="331"/>
      <c r="AV68" s="331"/>
      <c r="AW68" s="387"/>
      <c r="AX68" s="387"/>
      <c r="AY68" s="387"/>
      <c r="AZ68" s="373"/>
      <c r="BA68" s="373"/>
      <c r="BB68" s="373"/>
      <c r="BC68" s="373"/>
      <c r="BD68" s="348"/>
      <c r="BE68" s="348"/>
      <c r="BF68" s="348"/>
      <c r="BG68" s="348"/>
      <c r="BH68" s="348"/>
      <c r="BI68" s="348"/>
      <c r="BJ68" s="348"/>
      <c r="BK68" s="348"/>
      <c r="BL68" s="348"/>
      <c r="BM68" s="373"/>
      <c r="BN68" s="373"/>
      <c r="BO68" s="373"/>
      <c r="BP68" s="373"/>
      <c r="BQ68" s="373"/>
      <c r="BR68" s="373"/>
      <c r="BS68" s="373"/>
    </row>
    <row r="69" spans="1:245" ht="24.75" thickBot="1">
      <c r="A69" s="374"/>
      <c r="B69" s="605"/>
      <c r="C69" s="606"/>
      <c r="D69" s="606"/>
      <c r="E69" s="607"/>
      <c r="F69" s="564"/>
      <c r="G69" s="565"/>
      <c r="H69" s="566"/>
      <c r="I69" s="566"/>
      <c r="J69" s="566"/>
      <c r="K69" s="566"/>
      <c r="L69" s="566"/>
      <c r="M69" s="567"/>
      <c r="N69" s="624"/>
      <c r="O69" s="625"/>
      <c r="P69" s="625"/>
      <c r="Q69" s="625"/>
      <c r="R69" s="625"/>
      <c r="S69" s="577"/>
      <c r="T69" s="577"/>
      <c r="U69" s="577"/>
      <c r="V69" s="577"/>
      <c r="W69" s="577"/>
      <c r="X69" s="577"/>
      <c r="Y69" s="577"/>
      <c r="Z69" s="577"/>
      <c r="AA69" s="577"/>
      <c r="AB69" s="578"/>
      <c r="AC69" s="596"/>
      <c r="AD69" s="597"/>
      <c r="AE69" s="597"/>
      <c r="AF69" s="597"/>
      <c r="AG69" s="598"/>
      <c r="AH69" s="169" t="str">
        <f>IF(ISERROR(BB67),"",IF(AND(BB67=1,BP67=1),"　ます。",""))</f>
        <v/>
      </c>
      <c r="AI69" s="160"/>
      <c r="AJ69" s="160"/>
      <c r="AK69" s="160"/>
      <c r="AL69" s="160"/>
      <c r="AM69" s="161"/>
      <c r="AZ69" s="143"/>
      <c r="BA69" s="143"/>
    </row>
    <row r="70" spans="1:245">
      <c r="A70" s="158"/>
      <c r="B70" s="160"/>
      <c r="C70" s="160"/>
      <c r="D70" s="160"/>
      <c r="E70" s="160"/>
      <c r="F70" s="160"/>
      <c r="G70" s="160"/>
      <c r="H70" s="160"/>
      <c r="I70" s="160"/>
      <c r="J70" s="160"/>
      <c r="K70" s="160"/>
      <c r="L70" s="160"/>
      <c r="M70" s="160"/>
      <c r="N70" s="160"/>
      <c r="O70" s="160"/>
      <c r="P70" s="160"/>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61"/>
      <c r="AW70" s="331" t="s">
        <v>223</v>
      </c>
      <c r="AX70" s="331"/>
      <c r="AY70" s="331"/>
      <c r="AZ70" s="331"/>
      <c r="BA70" s="331"/>
      <c r="BB70" s="331"/>
      <c r="BC70" s="331"/>
      <c r="BD70" s="331"/>
      <c r="BE70" s="331"/>
      <c r="BF70" s="331" t="s">
        <v>201</v>
      </c>
      <c r="BG70" s="331"/>
      <c r="BH70" s="331"/>
      <c r="BI70" s="331"/>
      <c r="BJ70" s="331"/>
      <c r="BK70" s="331"/>
      <c r="BL70" s="331"/>
      <c r="BM70" s="331"/>
      <c r="BN70" s="331"/>
      <c r="BO70" s="331" t="s">
        <v>202</v>
      </c>
      <c r="BP70" s="331"/>
      <c r="BQ70" s="331"/>
      <c r="BR70" s="331"/>
      <c r="BS70" s="331"/>
      <c r="BT70" s="331"/>
      <c r="BU70" s="331"/>
      <c r="BV70" s="331"/>
      <c r="BW70" s="331"/>
      <c r="BX70" s="331" t="s">
        <v>224</v>
      </c>
      <c r="BY70" s="331"/>
      <c r="BZ70" s="331"/>
      <c r="CA70" s="331" t="s">
        <v>238</v>
      </c>
      <c r="CB70" s="331"/>
      <c r="CC70" s="331" t="s">
        <v>236</v>
      </c>
      <c r="CD70" s="331"/>
      <c r="CE70" s="331"/>
      <c r="CF70" s="331" t="s">
        <v>247</v>
      </c>
      <c r="CG70" s="331"/>
      <c r="CH70" s="331"/>
      <c r="CI70" s="331" t="s">
        <v>249</v>
      </c>
      <c r="CJ70" s="331"/>
      <c r="CK70" s="331"/>
      <c r="CL70" s="331"/>
      <c r="CM70" s="331"/>
      <c r="CN70" s="331"/>
      <c r="CO70" s="331"/>
      <c r="CP70" s="331"/>
      <c r="CQ70" s="331"/>
      <c r="GV70" s="284">
        <f ca="1">GV74+GV75</f>
        <v>0</v>
      </c>
      <c r="HO70" s="284">
        <f ca="1">HO74+HO75</f>
        <v>0</v>
      </c>
      <c r="IK70" s="284">
        <f ca="1">IK74+IK75</f>
        <v>0</v>
      </c>
    </row>
    <row r="71" spans="1:245">
      <c r="A71" s="158"/>
      <c r="B71" s="160" t="s">
        <v>257</v>
      </c>
      <c r="C71" s="160"/>
      <c r="D71" s="160"/>
      <c r="E71" s="160"/>
      <c r="F71" s="160"/>
      <c r="G71" s="160"/>
      <c r="H71" s="160"/>
      <c r="I71" s="160"/>
      <c r="J71" s="160"/>
      <c r="K71" s="160"/>
      <c r="L71" s="160"/>
      <c r="M71" s="160"/>
      <c r="N71" s="160"/>
      <c r="O71" s="160"/>
      <c r="P71" s="160"/>
      <c r="Q71" s="583" t="str">
        <f ca="1">IF(AV83&gt;0,VLOOKUP(AZ82,テーブル!M2:N4,2,FALSE),"")</f>
        <v/>
      </c>
      <c r="R71" s="583"/>
      <c r="S71" s="583"/>
      <c r="T71" s="583"/>
      <c r="U71" s="583"/>
      <c r="V71" s="583"/>
      <c r="W71" s="583"/>
      <c r="X71" s="583"/>
      <c r="Y71" s="583"/>
      <c r="Z71" s="583"/>
      <c r="AA71" s="583"/>
      <c r="AB71" s="583"/>
      <c r="AC71" s="583"/>
      <c r="AD71" s="583"/>
      <c r="AE71" s="583"/>
      <c r="AF71" s="583"/>
      <c r="AG71" s="583"/>
      <c r="AH71" s="583"/>
      <c r="AI71" s="583"/>
      <c r="AJ71" s="583"/>
      <c r="AK71" s="583"/>
      <c r="AL71" s="583"/>
      <c r="AM71" s="161"/>
      <c r="AW71" s="331" t="s">
        <v>198</v>
      </c>
      <c r="AX71" s="331"/>
      <c r="AY71" s="331"/>
      <c r="AZ71" s="331" t="s">
        <v>199</v>
      </c>
      <c r="BA71" s="331"/>
      <c r="BB71" s="331"/>
      <c r="BC71" s="331" t="s">
        <v>200</v>
      </c>
      <c r="BD71" s="331"/>
      <c r="BE71" s="331"/>
      <c r="BF71" s="331" t="s">
        <v>198</v>
      </c>
      <c r="BG71" s="331"/>
      <c r="BH71" s="331"/>
      <c r="BI71" s="331" t="s">
        <v>199</v>
      </c>
      <c r="BJ71" s="331"/>
      <c r="BK71" s="331"/>
      <c r="BL71" s="331" t="s">
        <v>200</v>
      </c>
      <c r="BM71" s="331"/>
      <c r="BN71" s="331"/>
      <c r="BO71" s="331" t="s">
        <v>198</v>
      </c>
      <c r="BP71" s="331"/>
      <c r="BQ71" s="331"/>
      <c r="BR71" s="331" t="s">
        <v>199</v>
      </c>
      <c r="BS71" s="331"/>
      <c r="BT71" s="331"/>
      <c r="BU71" s="331" t="s">
        <v>200</v>
      </c>
      <c r="BV71" s="331"/>
      <c r="BW71" s="331"/>
      <c r="BX71" s="331"/>
      <c r="BY71" s="331"/>
      <c r="BZ71" s="331"/>
      <c r="CA71" s="331"/>
      <c r="CB71" s="331"/>
      <c r="CC71" s="331"/>
      <c r="CD71" s="331"/>
      <c r="CE71" s="331"/>
      <c r="CF71" s="331"/>
      <c r="CG71" s="331"/>
      <c r="CH71" s="331"/>
      <c r="CI71" s="331" t="s">
        <v>198</v>
      </c>
      <c r="CJ71" s="331"/>
      <c r="CK71" s="331"/>
      <c r="CL71" s="331" t="s">
        <v>199</v>
      </c>
      <c r="CM71" s="331"/>
      <c r="CN71" s="331"/>
      <c r="CO71" s="331" t="s">
        <v>200</v>
      </c>
      <c r="CP71" s="331"/>
      <c r="CQ71" s="331"/>
      <c r="GE71" s="328" t="s">
        <v>349</v>
      </c>
      <c r="GF71" s="329"/>
      <c r="GG71" s="330"/>
      <c r="GH71" s="331" t="s">
        <v>340</v>
      </c>
      <c r="GI71" s="331"/>
      <c r="GJ71" s="331"/>
      <c r="GK71" s="331"/>
      <c r="GL71" s="331"/>
      <c r="GM71" s="331"/>
      <c r="GN71" s="331"/>
      <c r="GO71" s="331"/>
      <c r="GP71" s="331"/>
      <c r="GQ71" s="331"/>
      <c r="GR71" s="331"/>
      <c r="GS71" s="331"/>
      <c r="GT71" s="332" t="s">
        <v>344</v>
      </c>
      <c r="GU71" s="332" t="s">
        <v>342</v>
      </c>
      <c r="GV71" s="332" t="s">
        <v>343</v>
      </c>
      <c r="GX71" s="328" t="s">
        <v>349</v>
      </c>
      <c r="GY71" s="329"/>
      <c r="GZ71" s="330"/>
      <c r="HA71" s="331" t="s">
        <v>347</v>
      </c>
      <c r="HB71" s="331"/>
      <c r="HC71" s="331"/>
      <c r="HD71" s="331"/>
      <c r="HE71" s="331"/>
      <c r="HF71" s="331"/>
      <c r="HG71" s="331"/>
      <c r="HH71" s="331"/>
      <c r="HI71" s="331"/>
      <c r="HJ71" s="331"/>
      <c r="HK71" s="331"/>
      <c r="HL71" s="331"/>
      <c r="HM71" s="332" t="s">
        <v>344</v>
      </c>
      <c r="HN71" s="332" t="s">
        <v>342</v>
      </c>
      <c r="HO71" s="332" t="s">
        <v>343</v>
      </c>
      <c r="HQ71" s="301" t="s">
        <v>349</v>
      </c>
      <c r="HR71" s="318"/>
      <c r="HS71" s="318"/>
      <c r="HT71" s="318"/>
      <c r="HU71" s="318"/>
      <c r="HV71" s="302"/>
      <c r="HW71" s="306" t="s">
        <v>339</v>
      </c>
      <c r="HX71" s="306"/>
      <c r="HY71" s="306"/>
      <c r="HZ71" s="306"/>
      <c r="IA71" s="306"/>
      <c r="IB71" s="306"/>
      <c r="IC71" s="306"/>
      <c r="ID71" s="306"/>
      <c r="IE71" s="306"/>
      <c r="IF71" s="306"/>
      <c r="IG71" s="306"/>
      <c r="IH71" s="306"/>
      <c r="II71" s="307" t="s">
        <v>344</v>
      </c>
      <c r="IJ71" s="307" t="s">
        <v>342</v>
      </c>
      <c r="IK71" s="307" t="s">
        <v>343</v>
      </c>
    </row>
    <row r="72" spans="1:245" ht="12" customHeight="1" thickBot="1">
      <c r="A72" s="158"/>
      <c r="B72" s="160"/>
      <c r="C72" s="160"/>
      <c r="D72" s="160"/>
      <c r="E72" s="160"/>
      <c r="F72" s="160"/>
      <c r="G72" s="160"/>
      <c r="H72" s="160"/>
      <c r="I72" s="160"/>
      <c r="J72" s="160"/>
      <c r="K72" s="160"/>
      <c r="L72" s="160"/>
      <c r="M72" s="160"/>
      <c r="N72" s="160"/>
      <c r="O72" s="160"/>
      <c r="P72" s="160"/>
      <c r="Q72" s="285"/>
      <c r="R72" s="285"/>
      <c r="S72" s="285"/>
      <c r="T72" s="285"/>
      <c r="U72" s="285"/>
      <c r="V72" s="285"/>
      <c r="W72" s="285"/>
      <c r="X72" s="285"/>
      <c r="Y72" s="285"/>
      <c r="Z72" s="285"/>
      <c r="AA72" s="285"/>
      <c r="AB72" s="285"/>
      <c r="AC72" s="285"/>
      <c r="AD72" s="285"/>
      <c r="AE72" s="285"/>
      <c r="AF72" s="285"/>
      <c r="AG72" s="285"/>
      <c r="AH72" s="285"/>
      <c r="AI72" s="285"/>
      <c r="AJ72" s="285"/>
      <c r="AK72" s="285"/>
      <c r="AL72" s="285"/>
      <c r="AM72" s="161"/>
      <c r="AW72" s="373">
        <f>VLOOKUP($AW$62,案分率等!$A:$T,案分率等!B1,FALSE)</f>
        <v>7.9</v>
      </c>
      <c r="AX72" s="373"/>
      <c r="AY72" s="373"/>
      <c r="AZ72" s="373">
        <f>VLOOKUP($AW$62,案分率等!$A:$T,案分率等!I1,FALSE)</f>
        <v>2.7</v>
      </c>
      <c r="BA72" s="373"/>
      <c r="BB72" s="373"/>
      <c r="BC72" s="373">
        <f>VLOOKUP($AW$62,案分率等!$A:$T,案分率等!P1,FALSE)</f>
        <v>2.5</v>
      </c>
      <c r="BD72" s="373"/>
      <c r="BE72" s="373"/>
      <c r="BF72" s="348">
        <f>VLOOKUP($AW$62,案分率等!$A:$T,案分率等!D1,FALSE)</f>
        <v>22700</v>
      </c>
      <c r="BG72" s="348"/>
      <c r="BH72" s="348"/>
      <c r="BI72" s="348">
        <f>VLOOKUP($AW$62,案分率等!$A:$T,案分率等!K1,FALSE)</f>
        <v>8300</v>
      </c>
      <c r="BJ72" s="348"/>
      <c r="BK72" s="348"/>
      <c r="BL72" s="348">
        <f>VLOOKUP($AW$62,案分率等!$A:$T,案分率等!R1,FALSE)</f>
        <v>7200</v>
      </c>
      <c r="BM72" s="348"/>
      <c r="BN72" s="348"/>
      <c r="BO72" s="348">
        <f>VLOOKUP($AW$62,案分率等!$A:$T,案分率等!E1,FALSE)</f>
        <v>21400</v>
      </c>
      <c r="BP72" s="348"/>
      <c r="BQ72" s="348"/>
      <c r="BR72" s="348">
        <f>VLOOKUP($AW$62,案分率等!$A:$T,案分率等!L1,FALSE)</f>
        <v>6000</v>
      </c>
      <c r="BS72" s="348"/>
      <c r="BT72" s="348"/>
      <c r="BU72" s="348">
        <f>VLOOKUP($AW$62,案分率等!$A:$T,案分率等!S1,FALSE)</f>
        <v>6200</v>
      </c>
      <c r="BV72" s="348"/>
      <c r="BW72" s="348"/>
      <c r="BX72" s="348">
        <f>VLOOKUP($AW$62,案分率等!$A:$X,案分率等!X1,FALSE)</f>
        <v>430000</v>
      </c>
      <c r="BY72" s="348"/>
      <c r="BZ72" s="348"/>
      <c r="CA72" s="373">
        <f ca="1">軽減計算!V6</f>
        <v>0.3</v>
      </c>
      <c r="CB72" s="373"/>
      <c r="CC72" s="348">
        <f ca="1">SUM(FL85:FT85)</f>
        <v>0</v>
      </c>
      <c r="CD72" s="348"/>
      <c r="CE72" s="348"/>
      <c r="CF72" s="479">
        <f ca="1">SUM(FU85:GC85)</f>
        <v>0</v>
      </c>
      <c r="CG72" s="390"/>
      <c r="CH72" s="390"/>
      <c r="CI72" s="415">
        <f>VLOOKUP($AW$62,案分率等!$A:$T,案分率等!G1,FALSE)</f>
        <v>650000</v>
      </c>
      <c r="CJ72" s="415"/>
      <c r="CK72" s="415"/>
      <c r="CL72" s="415">
        <f>VLOOKUP($AW$62,案分率等!$A:$T,案分率等!N1,FALSE)</f>
        <v>240000</v>
      </c>
      <c r="CM72" s="415"/>
      <c r="CN72" s="415"/>
      <c r="CO72" s="415">
        <f>VLOOKUP($AW$62,案分率等!$A:$T,案分率等!T1,FALSE)</f>
        <v>170000</v>
      </c>
      <c r="CP72" s="415"/>
      <c r="CQ72" s="415"/>
      <c r="GE72" s="331" t="s">
        <v>348</v>
      </c>
      <c r="GF72" s="331"/>
      <c r="GG72" s="331"/>
      <c r="GH72" s="246">
        <v>4</v>
      </c>
      <c r="GI72" s="246">
        <v>5</v>
      </c>
      <c r="GJ72" s="246">
        <v>6</v>
      </c>
      <c r="GK72" s="246">
        <v>7</v>
      </c>
      <c r="GL72" s="246">
        <v>8</v>
      </c>
      <c r="GM72" s="246">
        <v>9</v>
      </c>
      <c r="GN72" s="246">
        <v>10</v>
      </c>
      <c r="GO72" s="246">
        <v>11</v>
      </c>
      <c r="GP72" s="246">
        <v>12</v>
      </c>
      <c r="GQ72" s="246">
        <v>1</v>
      </c>
      <c r="GR72" s="246">
        <v>2</v>
      </c>
      <c r="GS72" s="246">
        <v>3</v>
      </c>
      <c r="GT72" s="333"/>
      <c r="GU72" s="333"/>
      <c r="GV72" s="333"/>
      <c r="GX72" s="331" t="s">
        <v>348</v>
      </c>
      <c r="GY72" s="331"/>
      <c r="GZ72" s="331"/>
      <c r="HA72" s="246">
        <v>4</v>
      </c>
      <c r="HB72" s="246">
        <v>5</v>
      </c>
      <c r="HC72" s="246">
        <v>6</v>
      </c>
      <c r="HD72" s="246">
        <v>7</v>
      </c>
      <c r="HE72" s="246">
        <v>8</v>
      </c>
      <c r="HF72" s="246">
        <v>9</v>
      </c>
      <c r="HG72" s="246">
        <v>10</v>
      </c>
      <c r="HH72" s="246">
        <v>11</v>
      </c>
      <c r="HI72" s="246">
        <v>12</v>
      </c>
      <c r="HJ72" s="246">
        <v>1</v>
      </c>
      <c r="HK72" s="246">
        <v>2</v>
      </c>
      <c r="HL72" s="246">
        <v>3</v>
      </c>
      <c r="HM72" s="333"/>
      <c r="HN72" s="333"/>
      <c r="HO72" s="333"/>
      <c r="HQ72" s="301" t="s">
        <v>348</v>
      </c>
      <c r="HR72" s="318"/>
      <c r="HS72" s="318"/>
      <c r="HT72" s="318"/>
      <c r="HU72" s="318"/>
      <c r="HV72" s="302"/>
      <c r="HW72" s="267">
        <v>4</v>
      </c>
      <c r="HX72" s="267">
        <v>5</v>
      </c>
      <c r="HY72" s="267">
        <v>6</v>
      </c>
      <c r="HZ72" s="267">
        <v>7</v>
      </c>
      <c r="IA72" s="267">
        <v>8</v>
      </c>
      <c r="IB72" s="267">
        <v>9</v>
      </c>
      <c r="IC72" s="267">
        <v>10</v>
      </c>
      <c r="ID72" s="267">
        <v>11</v>
      </c>
      <c r="IE72" s="267">
        <v>12</v>
      </c>
      <c r="IF72" s="267">
        <v>1</v>
      </c>
      <c r="IG72" s="267">
        <v>2</v>
      </c>
      <c r="IH72" s="267">
        <v>3</v>
      </c>
      <c r="II72" s="308"/>
      <c r="IJ72" s="308"/>
      <c r="IK72" s="308"/>
    </row>
    <row r="73" spans="1:245" ht="24" customHeight="1" thickTop="1">
      <c r="A73" s="158"/>
      <c r="B73" s="589" t="s">
        <v>18</v>
      </c>
      <c r="C73" s="590"/>
      <c r="D73" s="590"/>
      <c r="E73" s="590"/>
      <c r="F73" s="608" t="s">
        <v>0</v>
      </c>
      <c r="G73" s="609"/>
      <c r="H73" s="609"/>
      <c r="I73" s="609"/>
      <c r="J73" s="609"/>
      <c r="K73" s="609"/>
      <c r="L73" s="609"/>
      <c r="M73" s="610"/>
      <c r="N73" s="611" t="str">
        <f ca="1">"前年中（"&amp;C62&amp;AW62-1&amp;"年中）の収入に関する情報"</f>
        <v>前年中（令和5年中）の収入に関する情報</v>
      </c>
      <c r="O73" s="612"/>
      <c r="P73" s="612"/>
      <c r="Q73" s="612"/>
      <c r="R73" s="612"/>
      <c r="S73" s="612"/>
      <c r="T73" s="612"/>
      <c r="U73" s="612"/>
      <c r="V73" s="612"/>
      <c r="W73" s="612"/>
      <c r="X73" s="612"/>
      <c r="Y73" s="612"/>
      <c r="Z73" s="612"/>
      <c r="AA73" s="612"/>
      <c r="AB73" s="613"/>
      <c r="AC73" s="538" t="s">
        <v>205</v>
      </c>
      <c r="AD73" s="539"/>
      <c r="AE73" s="539"/>
      <c r="AF73" s="539"/>
      <c r="AG73" s="539"/>
      <c r="AH73" s="626" t="s">
        <v>204</v>
      </c>
      <c r="AI73" s="627"/>
      <c r="AJ73" s="627"/>
      <c r="AK73" s="627"/>
      <c r="AL73" s="628"/>
      <c r="AM73" s="161"/>
      <c r="AW73" s="419"/>
      <c r="AX73" s="419"/>
      <c r="AY73" s="419"/>
      <c r="AZ73" s="419"/>
      <c r="BA73" s="419"/>
      <c r="BB73" s="419"/>
      <c r="BC73" s="419"/>
      <c r="BD73" s="419"/>
      <c r="BE73" s="419"/>
      <c r="BF73" s="347"/>
      <c r="BG73" s="347"/>
      <c r="BH73" s="347"/>
      <c r="BI73" s="347"/>
      <c r="BJ73" s="347"/>
      <c r="BK73" s="347"/>
      <c r="BL73" s="347"/>
      <c r="BM73" s="347"/>
      <c r="BN73" s="347"/>
      <c r="BO73" s="347"/>
      <c r="BP73" s="347"/>
      <c r="BQ73" s="347"/>
      <c r="BR73" s="347"/>
      <c r="BS73" s="347"/>
      <c r="BT73" s="347"/>
      <c r="BU73" s="347"/>
      <c r="BV73" s="347"/>
      <c r="BW73" s="347"/>
      <c r="BX73" s="347"/>
      <c r="BY73" s="347"/>
      <c r="BZ73" s="347"/>
      <c r="CA73" s="419"/>
      <c r="CB73" s="419"/>
      <c r="CC73" s="347"/>
      <c r="CD73" s="347"/>
      <c r="CE73" s="347"/>
      <c r="CF73" s="345"/>
      <c r="CG73" s="345"/>
      <c r="CH73" s="345"/>
      <c r="CI73" s="416"/>
      <c r="CJ73" s="416"/>
      <c r="CK73" s="416"/>
      <c r="CL73" s="416"/>
      <c r="CM73" s="416"/>
      <c r="CN73" s="416"/>
      <c r="CO73" s="416"/>
      <c r="CP73" s="416"/>
      <c r="CQ73" s="416"/>
      <c r="DA73" s="430" t="s">
        <v>260</v>
      </c>
      <c r="DB73" s="431"/>
      <c r="DC73" s="431"/>
      <c r="DD73" s="431"/>
      <c r="DE73" s="431"/>
      <c r="DF73" s="431"/>
      <c r="DG73" s="431"/>
      <c r="DH73" s="431"/>
      <c r="DI73" s="431"/>
      <c r="DJ73" s="431"/>
      <c r="DK73" s="431"/>
      <c r="DL73" s="431"/>
      <c r="DM73" s="431"/>
      <c r="DN73" s="431"/>
      <c r="DO73" s="431"/>
      <c r="DP73" s="431"/>
      <c r="DQ73" s="431"/>
      <c r="DR73" s="431"/>
      <c r="DS73" s="431"/>
      <c r="DT73" s="431"/>
      <c r="DU73" s="431"/>
      <c r="DV73" s="431"/>
      <c r="DW73" s="431"/>
      <c r="DX73" s="431"/>
      <c r="DY73" s="431"/>
      <c r="DZ73" s="431"/>
      <c r="EA73" s="431"/>
      <c r="EB73" s="431"/>
      <c r="EC73" s="431"/>
      <c r="ED73" s="431"/>
      <c r="EE73" s="431"/>
      <c r="EF73" s="431"/>
      <c r="EG73" s="431"/>
      <c r="EH73" s="431"/>
      <c r="EI73" s="431"/>
      <c r="EJ73" s="432"/>
      <c r="EK73" s="430" t="s">
        <v>239</v>
      </c>
      <c r="EL73" s="431"/>
      <c r="EM73" s="431"/>
      <c r="EN73" s="431"/>
      <c r="EO73" s="431"/>
      <c r="EP73" s="431"/>
      <c r="EQ73" s="431"/>
      <c r="ER73" s="431"/>
      <c r="ES73" s="431"/>
      <c r="ET73" s="431"/>
      <c r="EU73" s="431"/>
      <c r="EV73" s="431"/>
      <c r="EW73" s="431"/>
      <c r="EX73" s="431"/>
      <c r="EY73" s="431"/>
      <c r="EZ73" s="431"/>
      <c r="FA73" s="431"/>
      <c r="FB73" s="431"/>
      <c r="FC73" s="431"/>
      <c r="FD73" s="431"/>
      <c r="FE73" s="431"/>
      <c r="FF73" s="431"/>
      <c r="FG73" s="431"/>
      <c r="FH73" s="431"/>
      <c r="FI73" s="431"/>
      <c r="FJ73" s="431"/>
      <c r="FK73" s="431"/>
      <c r="FL73" s="431"/>
      <c r="FM73" s="431"/>
      <c r="FN73" s="431"/>
      <c r="FO73" s="431"/>
      <c r="FP73" s="431"/>
      <c r="FQ73" s="431"/>
      <c r="FR73" s="431"/>
      <c r="FS73" s="431"/>
      <c r="FT73" s="432"/>
      <c r="FU73" s="430" t="s">
        <v>246</v>
      </c>
      <c r="FV73" s="431"/>
      <c r="FW73" s="431"/>
      <c r="FX73" s="431"/>
      <c r="FY73" s="431"/>
      <c r="FZ73" s="431"/>
      <c r="GA73" s="431"/>
      <c r="GB73" s="431"/>
      <c r="GC73" s="432"/>
      <c r="GE73" s="335">
        <f ca="1">$AZ$62</f>
        <v>45412</v>
      </c>
      <c r="GF73" s="336"/>
      <c r="GG73" s="337"/>
      <c r="GH73" s="255">
        <f ca="1">DATE($BN$64,GI72,1)-1</f>
        <v>45412</v>
      </c>
      <c r="GI73" s="255">
        <f t="shared" ref="GI73:GO73" ca="1" si="0">DATE($BN$64,GJ72,1)-1</f>
        <v>45443</v>
      </c>
      <c r="GJ73" s="255">
        <f t="shared" ca="1" si="0"/>
        <v>45473</v>
      </c>
      <c r="GK73" s="255">
        <f t="shared" ca="1" si="0"/>
        <v>45504</v>
      </c>
      <c r="GL73" s="255">
        <f t="shared" ca="1" si="0"/>
        <v>45535</v>
      </c>
      <c r="GM73" s="255">
        <f t="shared" ca="1" si="0"/>
        <v>45565</v>
      </c>
      <c r="GN73" s="255">
        <f t="shared" ca="1" si="0"/>
        <v>45596</v>
      </c>
      <c r="GO73" s="255">
        <f t="shared" ca="1" si="0"/>
        <v>45626</v>
      </c>
      <c r="GP73" s="255">
        <f ca="1">DATE($BN$64+1,GQ72,1)-1</f>
        <v>45657</v>
      </c>
      <c r="GQ73" s="255">
        <f ca="1">DATE($BN$64+1,GR72,1)-1</f>
        <v>45688</v>
      </c>
      <c r="GR73" s="255">
        <f t="shared" ref="GR73" ca="1" si="1">DATE($BN$64+1,GS72,1)-1</f>
        <v>45716</v>
      </c>
      <c r="GS73" s="255">
        <f ca="1">DATE($BN$64+1,GH72,1)-1</f>
        <v>45747</v>
      </c>
      <c r="GT73" s="334"/>
      <c r="GU73" s="334"/>
      <c r="GV73" s="334"/>
      <c r="GX73" s="335">
        <f ca="1">$AZ$62</f>
        <v>45412</v>
      </c>
      <c r="GY73" s="336"/>
      <c r="GZ73" s="337"/>
      <c r="HA73" s="255">
        <f ca="1">DATE($BN$64,HB72,1)-1</f>
        <v>45412</v>
      </c>
      <c r="HB73" s="255">
        <f t="shared" ref="HB73:HH73" ca="1" si="2">DATE($BN$64,HC72,1)-1</f>
        <v>45443</v>
      </c>
      <c r="HC73" s="255">
        <f t="shared" ca="1" si="2"/>
        <v>45473</v>
      </c>
      <c r="HD73" s="255">
        <f t="shared" ca="1" si="2"/>
        <v>45504</v>
      </c>
      <c r="HE73" s="255">
        <f t="shared" ca="1" si="2"/>
        <v>45535</v>
      </c>
      <c r="HF73" s="255">
        <f t="shared" ca="1" si="2"/>
        <v>45565</v>
      </c>
      <c r="HG73" s="255">
        <f t="shared" ca="1" si="2"/>
        <v>45596</v>
      </c>
      <c r="HH73" s="255">
        <f t="shared" ca="1" si="2"/>
        <v>45626</v>
      </c>
      <c r="HI73" s="255">
        <f ca="1">DATE($BN$64+1,HJ72,1)-1</f>
        <v>45657</v>
      </c>
      <c r="HJ73" s="255">
        <f ca="1">DATE($BN$64+1,HK72,1)-1</f>
        <v>45688</v>
      </c>
      <c r="HK73" s="255">
        <f t="shared" ref="HK73" ca="1" si="3">DATE($BN$64+1,HL72,1)-1</f>
        <v>45716</v>
      </c>
      <c r="HL73" s="255">
        <f ca="1">DATE($BN$64+1,HA72,1)-1</f>
        <v>45747</v>
      </c>
      <c r="HM73" s="334"/>
      <c r="HN73" s="334"/>
      <c r="HO73" s="334"/>
      <c r="HQ73" s="310">
        <f ca="1">GE73</f>
        <v>45412</v>
      </c>
      <c r="HR73" s="310"/>
      <c r="HS73" s="319" t="str">
        <f ca="1">IF(BP82="","",IF(HQ73&gt;=BP82,HQ73,BP82))</f>
        <v/>
      </c>
      <c r="HT73" s="320"/>
      <c r="HU73" s="320"/>
      <c r="HV73" s="321"/>
      <c r="HW73" s="268">
        <f ca="1">DATE($BN$64,HX72,1)-1</f>
        <v>45412</v>
      </c>
      <c r="HX73" s="268">
        <f t="shared" ref="HX73:ID73" ca="1" si="4">DATE($BN$64,HY72,1)-1</f>
        <v>45443</v>
      </c>
      <c r="HY73" s="268">
        <f t="shared" ca="1" si="4"/>
        <v>45473</v>
      </c>
      <c r="HZ73" s="268">
        <f t="shared" ca="1" si="4"/>
        <v>45504</v>
      </c>
      <c r="IA73" s="268">
        <f t="shared" ca="1" si="4"/>
        <v>45535</v>
      </c>
      <c r="IB73" s="268">
        <f t="shared" ca="1" si="4"/>
        <v>45565</v>
      </c>
      <c r="IC73" s="268">
        <f t="shared" ca="1" si="4"/>
        <v>45596</v>
      </c>
      <c r="ID73" s="268">
        <f t="shared" ca="1" si="4"/>
        <v>45626</v>
      </c>
      <c r="IE73" s="268">
        <f ca="1">DATE($BN$64+1,IF72,1)-1</f>
        <v>45657</v>
      </c>
      <c r="IF73" s="268">
        <f ca="1">DATE($BN$64+1,IG72,1)-1</f>
        <v>45688</v>
      </c>
      <c r="IG73" s="268">
        <f t="shared" ref="IG73" ca="1" si="5">DATE($BN$64+1,IH72,1)-1</f>
        <v>45716</v>
      </c>
      <c r="IH73" s="268">
        <f ca="1">DATE($BN$64+1,HW72,1)-1</f>
        <v>45747</v>
      </c>
      <c r="II73" s="309"/>
      <c r="IJ73" s="309"/>
      <c r="IK73" s="309"/>
    </row>
    <row r="74" spans="1:245" ht="24.75" thickBot="1">
      <c r="A74" s="158"/>
      <c r="B74" s="591"/>
      <c r="C74" s="592"/>
      <c r="D74" s="592"/>
      <c r="E74" s="592"/>
      <c r="F74" s="614" t="s">
        <v>13</v>
      </c>
      <c r="G74" s="580"/>
      <c r="H74" s="580" t="s">
        <v>14</v>
      </c>
      <c r="I74" s="580"/>
      <c r="J74" s="580" t="s">
        <v>15</v>
      </c>
      <c r="K74" s="580"/>
      <c r="L74" s="580" t="s">
        <v>16</v>
      </c>
      <c r="M74" s="581"/>
      <c r="N74" s="330" t="s">
        <v>1</v>
      </c>
      <c r="O74" s="331"/>
      <c r="P74" s="331"/>
      <c r="Q74" s="331"/>
      <c r="R74" s="328"/>
      <c r="S74" s="331" t="s">
        <v>2</v>
      </c>
      <c r="T74" s="331"/>
      <c r="U74" s="331"/>
      <c r="V74" s="331"/>
      <c r="W74" s="331"/>
      <c r="X74" s="330" t="s">
        <v>3</v>
      </c>
      <c r="Y74" s="331"/>
      <c r="Z74" s="331"/>
      <c r="AA74" s="331"/>
      <c r="AB74" s="582"/>
      <c r="AC74" s="540"/>
      <c r="AD74" s="541"/>
      <c r="AE74" s="541"/>
      <c r="AF74" s="541"/>
      <c r="AG74" s="541"/>
      <c r="AH74" s="629"/>
      <c r="AI74" s="630"/>
      <c r="AJ74" s="630"/>
      <c r="AK74" s="630"/>
      <c r="AL74" s="631"/>
      <c r="AM74" s="161"/>
      <c r="AU74" s="220" t="s">
        <v>305</v>
      </c>
      <c r="AV74" s="220" t="s">
        <v>306</v>
      </c>
      <c r="AW74" s="331" t="s">
        <v>25</v>
      </c>
      <c r="AX74" s="331"/>
      <c r="AY74" s="331"/>
      <c r="AZ74" s="331" t="s">
        <v>36</v>
      </c>
      <c r="BA74" s="331"/>
      <c r="BB74" s="331" t="s">
        <v>156</v>
      </c>
      <c r="BC74" s="331"/>
      <c r="BD74" s="331">
        <v>65</v>
      </c>
      <c r="BE74" s="331"/>
      <c r="BF74" s="331"/>
      <c r="BG74" s="331"/>
      <c r="BH74" s="331">
        <v>40</v>
      </c>
      <c r="BI74" s="331"/>
      <c r="BJ74" s="331"/>
      <c r="BK74" s="331"/>
      <c r="BL74" s="331" t="s">
        <v>311</v>
      </c>
      <c r="BM74" s="331"/>
      <c r="BN74" s="331"/>
      <c r="BO74" s="331"/>
      <c r="BP74" s="328" t="s">
        <v>255</v>
      </c>
      <c r="BQ74" s="329"/>
      <c r="BR74" s="330"/>
      <c r="BS74" s="328" t="s">
        <v>256</v>
      </c>
      <c r="BT74" s="329"/>
      <c r="BU74" s="330"/>
      <c r="BV74" s="331" t="s">
        <v>250</v>
      </c>
      <c r="BW74" s="331"/>
      <c r="BX74" s="331"/>
      <c r="BY74" s="328" t="s">
        <v>254</v>
      </c>
      <c r="BZ74" s="329"/>
      <c r="CA74" s="330"/>
      <c r="CB74" s="331" t="s">
        <v>26</v>
      </c>
      <c r="CC74" s="331"/>
      <c r="CD74" s="331"/>
      <c r="CE74" s="331" t="s">
        <v>27</v>
      </c>
      <c r="CF74" s="331"/>
      <c r="CG74" s="331"/>
      <c r="CH74" s="331" t="s">
        <v>28</v>
      </c>
      <c r="CI74" s="331"/>
      <c r="CJ74" s="331"/>
      <c r="CK74" s="331" t="s">
        <v>157</v>
      </c>
      <c r="CL74" s="331"/>
      <c r="CM74" s="331" t="s">
        <v>159</v>
      </c>
      <c r="CN74" s="331"/>
      <c r="CO74" s="331" t="s">
        <v>206</v>
      </c>
      <c r="CP74" s="331"/>
      <c r="CQ74" s="331" t="s">
        <v>207</v>
      </c>
      <c r="CR74" s="331"/>
      <c r="CS74" s="331" t="s">
        <v>220</v>
      </c>
      <c r="CT74" s="331"/>
      <c r="CU74" s="331" t="s">
        <v>217</v>
      </c>
      <c r="CV74" s="331"/>
      <c r="CW74" s="331"/>
      <c r="CX74" s="492" t="s">
        <v>218</v>
      </c>
      <c r="CY74" s="492"/>
      <c r="CZ74" s="493"/>
      <c r="DA74" s="423" t="s">
        <v>225</v>
      </c>
      <c r="DB74" s="424"/>
      <c r="DC74" s="424"/>
      <c r="DD74" s="425" t="s">
        <v>226</v>
      </c>
      <c r="DE74" s="425"/>
      <c r="DF74" s="425"/>
      <c r="DG74" s="426" t="s">
        <v>227</v>
      </c>
      <c r="DH74" s="426"/>
      <c r="DI74" s="462"/>
      <c r="DJ74" s="463" t="s">
        <v>228</v>
      </c>
      <c r="DK74" s="424"/>
      <c r="DL74" s="424"/>
      <c r="DM74" s="425" t="s">
        <v>229</v>
      </c>
      <c r="DN74" s="425"/>
      <c r="DO74" s="425"/>
      <c r="DP74" s="426" t="s">
        <v>230</v>
      </c>
      <c r="DQ74" s="426"/>
      <c r="DR74" s="462"/>
      <c r="DS74" s="463" t="s">
        <v>240</v>
      </c>
      <c r="DT74" s="424"/>
      <c r="DU74" s="424"/>
      <c r="DV74" s="425" t="s">
        <v>241</v>
      </c>
      <c r="DW74" s="425"/>
      <c r="DX74" s="425"/>
      <c r="DY74" s="426" t="s">
        <v>242</v>
      </c>
      <c r="DZ74" s="426"/>
      <c r="EA74" s="462"/>
      <c r="EB74" s="455" t="s">
        <v>231</v>
      </c>
      <c r="EC74" s="424"/>
      <c r="ED74" s="424"/>
      <c r="EE74" s="425" t="s">
        <v>232</v>
      </c>
      <c r="EF74" s="425"/>
      <c r="EG74" s="425"/>
      <c r="EH74" s="426" t="s">
        <v>233</v>
      </c>
      <c r="EI74" s="426"/>
      <c r="EJ74" s="427"/>
      <c r="EK74" s="423" t="s">
        <v>225</v>
      </c>
      <c r="EL74" s="424"/>
      <c r="EM74" s="424"/>
      <c r="EN74" s="425" t="s">
        <v>226</v>
      </c>
      <c r="EO74" s="425"/>
      <c r="EP74" s="425"/>
      <c r="EQ74" s="426" t="s">
        <v>227</v>
      </c>
      <c r="ER74" s="426"/>
      <c r="ES74" s="462"/>
      <c r="ET74" s="463" t="s">
        <v>228</v>
      </c>
      <c r="EU74" s="424"/>
      <c r="EV74" s="424"/>
      <c r="EW74" s="425" t="s">
        <v>229</v>
      </c>
      <c r="EX74" s="425"/>
      <c r="EY74" s="425"/>
      <c r="EZ74" s="426" t="s">
        <v>230</v>
      </c>
      <c r="FA74" s="426"/>
      <c r="FB74" s="462"/>
      <c r="FC74" s="455" t="s">
        <v>240</v>
      </c>
      <c r="FD74" s="424"/>
      <c r="FE74" s="424"/>
      <c r="FF74" s="425" t="s">
        <v>241</v>
      </c>
      <c r="FG74" s="425"/>
      <c r="FH74" s="425"/>
      <c r="FI74" s="426" t="s">
        <v>242</v>
      </c>
      <c r="FJ74" s="426"/>
      <c r="FK74" s="462"/>
      <c r="FL74" s="455" t="s">
        <v>231</v>
      </c>
      <c r="FM74" s="424"/>
      <c r="FN74" s="424"/>
      <c r="FO74" s="425" t="s">
        <v>232</v>
      </c>
      <c r="FP74" s="425"/>
      <c r="FQ74" s="425"/>
      <c r="FR74" s="426" t="s">
        <v>233</v>
      </c>
      <c r="FS74" s="426"/>
      <c r="FT74" s="427"/>
      <c r="FU74" s="423" t="s">
        <v>243</v>
      </c>
      <c r="FV74" s="424"/>
      <c r="FW74" s="424"/>
      <c r="FX74" s="425" t="s">
        <v>244</v>
      </c>
      <c r="FY74" s="425"/>
      <c r="FZ74" s="425"/>
      <c r="GA74" s="426" t="s">
        <v>245</v>
      </c>
      <c r="GB74" s="426"/>
      <c r="GC74" s="427"/>
      <c r="GE74" s="332" t="s">
        <v>341</v>
      </c>
      <c r="GF74" s="332"/>
      <c r="GG74" s="332"/>
      <c r="GH74" s="256">
        <f t="shared" ref="GH74:GS74" ca="1" si="6">IF(GH73&gt;=$GE$73,ROUNDUP($FC$75/12,3),"")</f>
        <v>0</v>
      </c>
      <c r="GI74" s="256">
        <f t="shared" ca="1" si="6"/>
        <v>0</v>
      </c>
      <c r="GJ74" s="256">
        <f t="shared" ca="1" si="6"/>
        <v>0</v>
      </c>
      <c r="GK74" s="256">
        <f t="shared" ca="1" si="6"/>
        <v>0</v>
      </c>
      <c r="GL74" s="256">
        <f t="shared" ca="1" si="6"/>
        <v>0</v>
      </c>
      <c r="GM74" s="256">
        <f t="shared" ca="1" si="6"/>
        <v>0</v>
      </c>
      <c r="GN74" s="256">
        <f t="shared" ca="1" si="6"/>
        <v>0</v>
      </c>
      <c r="GO74" s="256">
        <f t="shared" ca="1" si="6"/>
        <v>0</v>
      </c>
      <c r="GP74" s="256">
        <f t="shared" ca="1" si="6"/>
        <v>0</v>
      </c>
      <c r="GQ74" s="256">
        <f t="shared" ca="1" si="6"/>
        <v>0</v>
      </c>
      <c r="GR74" s="256">
        <f t="shared" ca="1" si="6"/>
        <v>0</v>
      </c>
      <c r="GS74" s="256">
        <f t="shared" ca="1" si="6"/>
        <v>0</v>
      </c>
      <c r="GT74" s="254">
        <f ca="1">COUNT(GH74:GS74)</f>
        <v>12</v>
      </c>
      <c r="GU74" s="257"/>
      <c r="GV74" s="258">
        <f ca="1">IF(GT74=12,FC75,SUM(GH74:GS74))</f>
        <v>0</v>
      </c>
      <c r="GW74" s="247"/>
      <c r="GX74" s="332" t="s">
        <v>341</v>
      </c>
      <c r="GY74" s="332"/>
      <c r="GZ74" s="332"/>
      <c r="HA74" s="256">
        <f ca="1">IF(HA73&gt;=$GX$73,ROUNDUP($FF$75/12,3),"")</f>
        <v>0</v>
      </c>
      <c r="HB74" s="256">
        <f t="shared" ref="HB74:HL74" ca="1" si="7">IF(HB73&gt;=$GE$73,ROUNDUP($FF$75/12,3),"")</f>
        <v>0</v>
      </c>
      <c r="HC74" s="256">
        <f t="shared" ca="1" si="7"/>
        <v>0</v>
      </c>
      <c r="HD74" s="256">
        <f t="shared" ca="1" si="7"/>
        <v>0</v>
      </c>
      <c r="HE74" s="256">
        <f t="shared" ca="1" si="7"/>
        <v>0</v>
      </c>
      <c r="HF74" s="256">
        <f t="shared" ca="1" si="7"/>
        <v>0</v>
      </c>
      <c r="HG74" s="256">
        <f t="shared" ca="1" si="7"/>
        <v>0</v>
      </c>
      <c r="HH74" s="256">
        <f t="shared" ca="1" si="7"/>
        <v>0</v>
      </c>
      <c r="HI74" s="256">
        <f t="shared" ca="1" si="7"/>
        <v>0</v>
      </c>
      <c r="HJ74" s="256">
        <f t="shared" ca="1" si="7"/>
        <v>0</v>
      </c>
      <c r="HK74" s="256">
        <f t="shared" ca="1" si="7"/>
        <v>0</v>
      </c>
      <c r="HL74" s="256">
        <f t="shared" ca="1" si="7"/>
        <v>0</v>
      </c>
      <c r="HM74" s="254">
        <f ca="1">COUNT(HA74:HL74)</f>
        <v>12</v>
      </c>
      <c r="HN74" s="257"/>
      <c r="HO74" s="258">
        <f ca="1">IF(HM74=12,FU75,SUM(HA74:HL74))</f>
        <v>0</v>
      </c>
      <c r="HQ74" s="311" t="s">
        <v>341</v>
      </c>
      <c r="HR74" s="312"/>
      <c r="HS74" s="322" t="str">
        <f ca="1">BS82</f>
        <v/>
      </c>
      <c r="HT74" s="323"/>
      <c r="HU74" s="323"/>
      <c r="HV74" s="324"/>
      <c r="HW74" s="269" t="str">
        <f t="shared" ref="HW74:IH74" ca="1" si="8">IF($HS$73="","",IF(HW73&gt;=$HS$73,ROUNDUP($FI$75/12,3),""))</f>
        <v/>
      </c>
      <c r="HX74" s="269" t="str">
        <f t="shared" ca="1" si="8"/>
        <v/>
      </c>
      <c r="HY74" s="269" t="str">
        <f t="shared" ca="1" si="8"/>
        <v/>
      </c>
      <c r="HZ74" s="269" t="str">
        <f t="shared" ca="1" si="8"/>
        <v/>
      </c>
      <c r="IA74" s="269" t="str">
        <f t="shared" ca="1" si="8"/>
        <v/>
      </c>
      <c r="IB74" s="269" t="str">
        <f t="shared" ca="1" si="8"/>
        <v/>
      </c>
      <c r="IC74" s="269" t="str">
        <f t="shared" ca="1" si="8"/>
        <v/>
      </c>
      <c r="ID74" s="269" t="str">
        <f t="shared" ca="1" si="8"/>
        <v/>
      </c>
      <c r="IE74" s="269" t="str">
        <f t="shared" ca="1" si="8"/>
        <v/>
      </c>
      <c r="IF74" s="269" t="str">
        <f t="shared" ca="1" si="8"/>
        <v/>
      </c>
      <c r="IG74" s="269" t="str">
        <f t="shared" ca="1" si="8"/>
        <v/>
      </c>
      <c r="IH74" s="269" t="str">
        <f t="shared" ca="1" si="8"/>
        <v/>
      </c>
      <c r="II74" s="270">
        <f ca="1">COUNT(HW74:IH74)</f>
        <v>0</v>
      </c>
      <c r="IJ74" s="271"/>
      <c r="IK74" s="272">
        <f ca="1">IF(II74=12,GN75,SUM(HW74:IH74))</f>
        <v>0</v>
      </c>
    </row>
    <row r="75" spans="1:245" ht="36" customHeight="1">
      <c r="A75" s="227"/>
      <c r="B75" s="584" t="s">
        <v>5</v>
      </c>
      <c r="C75" s="329"/>
      <c r="D75" s="329"/>
      <c r="E75" s="585"/>
      <c r="F75" s="571" t="str">
        <f>IF(ISERROR(BB67),"×",IF(BP67=1,IF(BB67=0,F68,""),""))</f>
        <v/>
      </c>
      <c r="G75" s="572"/>
      <c r="H75" s="572" t="str">
        <f>IF(ISERROR(AW67),"×",IF(F75="","",H68))</f>
        <v/>
      </c>
      <c r="I75" s="572"/>
      <c r="J75" s="572" t="str">
        <f>IF(ISERROR(AW67),"×",IF($F$75="","",J68))</f>
        <v/>
      </c>
      <c r="K75" s="572"/>
      <c r="L75" s="572" t="str">
        <f>IF(ISERROR(AW67),"×",IF($F$75="","",L68))</f>
        <v/>
      </c>
      <c r="M75" s="573"/>
      <c r="N75" s="574" t="str">
        <f>IF(OR(F75="",F75="×"),"",IF(N68="","",N68))</f>
        <v/>
      </c>
      <c r="O75" s="574"/>
      <c r="P75" s="574"/>
      <c r="Q75" s="574"/>
      <c r="R75" s="574"/>
      <c r="S75" s="504" t="str">
        <f>IF(OR(F75="",F75="×"),"",IF(S68="","",S68))</f>
        <v/>
      </c>
      <c r="T75" s="505"/>
      <c r="U75" s="505"/>
      <c r="V75" s="505"/>
      <c r="W75" s="506"/>
      <c r="X75" s="505" t="str">
        <f>IF(OR(F75="",F75="×"),"",IF(X68="","",X68))</f>
        <v/>
      </c>
      <c r="Y75" s="505"/>
      <c r="Z75" s="505"/>
      <c r="AA75" s="505"/>
      <c r="AB75" s="507"/>
      <c r="AC75" s="383"/>
      <c r="AD75" s="384"/>
      <c r="AE75" s="384"/>
      <c r="AF75" s="384"/>
      <c r="AG75" s="384"/>
      <c r="AH75" s="512"/>
      <c r="AI75" s="513"/>
      <c r="AJ75" s="513"/>
      <c r="AK75" s="513"/>
      <c r="AL75" s="514"/>
      <c r="AM75" s="161"/>
      <c r="AU75" s="210">
        <f ca="1">IF($O$62="",IF(ISERROR(DATEVALUE(VLOOKUP(F75,テーブル!$A$2:$B$4,2,FALSE)&amp;H75&amp;"."&amp;J75&amp;"."&amp;L75)),IF(F75="",0,1),IF(DATEVALUE(VLOOKUP(F75,テーブル!$A$2:$B$4,2,FALSE)&amp;H75&amp;"."&amp;J75&amp;"."&amp;L75)&gt;$BK$62,1,0)),1)</f>
        <v>0</v>
      </c>
      <c r="AV75" s="210">
        <f>IF(ISERROR(DATEVALUE(VLOOKUP(F75,テーブル!$A$2:$B$4,2,FALSE)&amp;H75&amp;"."&amp;J75&amp;"."&amp;L75)),IF(F75="",0,1),IF(ROUNDDOWN(YEARFRAC(DATEVALUE(VLOOKUP(F75,テーブル!$A$2:$B$4,2,FALSE)&amp;H75&amp;"."&amp;J75&amp;"."&amp;L75),$AZ$62,1),0)&gt;74,1,0))</f>
        <v>0</v>
      </c>
      <c r="AW75" s="387" t="str">
        <f ca="1">IF(OR(AU75=1,AV75=1),"",IF(ISERROR(DATEVALUE(VLOOKUP(F75,テーブル!$A$2:$B$4,2,FALSE)&amp;H75&amp;"."&amp;J75&amp;"."&amp;L75)),"",IF(DATEVALUE(VLOOKUP(F75,テーブル!$A$2:$B$4,2,FALSE)&amp;H75&amp;"."&amp;J75&amp;"."&amp;L75)&gt;$BK$62,"",DATEVALUE(VLOOKUP(F75,テーブル!$A$2:$B$4,2,FALSE)&amp;H75&amp;"."&amp;J75&amp;"."&amp;L75))))</f>
        <v/>
      </c>
      <c r="AX75" s="387"/>
      <c r="AY75" s="387"/>
      <c r="AZ75" s="373" t="str">
        <f ca="1">IF(AW75="","",ROUNDDOWN(YEARFRAC(AW75,$AZ$62,1),0))</f>
        <v/>
      </c>
      <c r="BA75" s="373"/>
      <c r="BB75" s="373" t="str">
        <f ca="1">IF(AW75="","",VLOOKUP(AZ75,テーブル!C:D,2,FALSE))</f>
        <v/>
      </c>
      <c r="BC75" s="373"/>
      <c r="BD75" s="387" t="str">
        <f ca="1">IF(AZ75=64,DATE(YEAR(AW75)+65,MONTH(AW75),DAY(AW75)),"")</f>
        <v/>
      </c>
      <c r="BE75" s="387"/>
      <c r="BF75" s="390" t="str">
        <f ca="1">IF(BD75&gt;$AZ$62,IF($BK$62&gt;=BD75,1,""),"")</f>
        <v/>
      </c>
      <c r="BG75" s="390"/>
      <c r="BH75" s="387" t="str">
        <f ca="1">IF(AZ75=39,DATE(YEAR(AW75)+40,MONTH(AW75),DAY(AW75)),"")</f>
        <v/>
      </c>
      <c r="BI75" s="387"/>
      <c r="BJ75" s="390" t="str">
        <f ca="1">IF(BH75&gt;$AZ$62,IF($BK$62&gt;BH75,1,""),"")</f>
        <v/>
      </c>
      <c r="BK75" s="390"/>
      <c r="BL75" s="636" t="str">
        <f t="shared" ref="BL75:BL76" ca="1" si="9">IF(AZ75=74,DATE(YEAR(AW75)+75,MONTH(AW75),DAY(AW75)),IF(AZ75=0,IF(AW75&gt;$AZ$62,AW75,IF(AW75&gt;=$BN$62,AW75,"")),""))</f>
        <v/>
      </c>
      <c r="BM75" s="637"/>
      <c r="BN75" s="522" t="str">
        <f t="shared" ref="BN75:BN76" ca="1" si="10">IF(BL75="","",IF($BK$62&gt;=BL75-1,IF(AZ75=0,IF(BL75&gt;=$BN$62,2,1),1),""))</f>
        <v/>
      </c>
      <c r="BO75" s="524"/>
      <c r="BP75" s="525" t="str">
        <f ca="1">IF(BB75=2,$AZ$62,IF(BJ75=1,BH75-1,""))</f>
        <v/>
      </c>
      <c r="BQ75" s="526"/>
      <c r="BR75" s="527"/>
      <c r="BS75" s="525" t="str">
        <f ca="1">IF(BB75=2,IF(BF75=1,BD75-1,$BK$62+1),IF(BJ75=1,$BK$62+1,""))</f>
        <v/>
      </c>
      <c r="BT75" s="526"/>
      <c r="BU75" s="527"/>
      <c r="BV75" s="390">
        <f ca="1">IF(AW75="",0,IF(BP75="",0,DATEDIF(BP75,BS75,"M")+1))</f>
        <v>0</v>
      </c>
      <c r="BW75" s="390"/>
      <c r="BX75" s="390"/>
      <c r="BY75" s="522">
        <f ca="1">IF(AW75="",0,IF(BN75=1,DATEDIF($AZ$62,BL75,"M")+1,IF(BN75=2,DATEDIF(BL75,$BK$62,"M")+1,$BQ$62)))</f>
        <v>0</v>
      </c>
      <c r="BZ75" s="523"/>
      <c r="CA75" s="524"/>
      <c r="CB75" s="348">
        <f>IF(N75="",0,N75)</f>
        <v>0</v>
      </c>
      <c r="CC75" s="348"/>
      <c r="CD75" s="348"/>
      <c r="CE75" s="348">
        <f>IF(S75="",0,S75)</f>
        <v>0</v>
      </c>
      <c r="CF75" s="348"/>
      <c r="CG75" s="348"/>
      <c r="CH75" s="348">
        <f>IF(X75="",0,X75)</f>
        <v>0</v>
      </c>
      <c r="CI75" s="348"/>
      <c r="CJ75" s="348"/>
      <c r="CK75" s="373"/>
      <c r="CL75" s="373"/>
      <c r="CM75" s="373" t="str">
        <f ca="1">IF(AW75="","",IF(ISERROR(VLOOKUP(AC75,テーブル!G:H,2,FALSE)),"",VLOOKUP(AC75,テーブル!G:H,2,FALSE)))</f>
        <v/>
      </c>
      <c r="CN75" s="373"/>
      <c r="CO75" s="373" t="str">
        <f ca="1">IF(AW75="","",IF(ISERROR(VLOOKUP(AH75,テーブル!I:J,2,FALSE)),"",VLOOKUP(AH75,テーブル!I:J,2,FALSE)))</f>
        <v/>
      </c>
      <c r="CP75" s="373"/>
      <c r="CQ75" s="373" t="str">
        <f t="shared" ref="CQ75:CQ81" ca="1" si="11">IF(AW75="","",IF(AZ75&gt;74,"",1))</f>
        <v/>
      </c>
      <c r="CR75" s="373"/>
      <c r="CS75" s="373" t="str">
        <f t="shared" ref="CS75:CS81" ca="1" si="12">IF(AW75="","",IF(CB75&gt;550000,1,IF(65&gt;AZ75,IF(CE75&gt;600000,1,""),IF(CE75&gt;1250000,1,""))))</f>
        <v/>
      </c>
      <c r="CT75" s="373"/>
      <c r="CU75" s="348">
        <f ca="1">所得換算!F102</f>
        <v>0</v>
      </c>
      <c r="CV75" s="348"/>
      <c r="CW75" s="348"/>
      <c r="CX75" s="348">
        <f ca="1">所得換算!F112</f>
        <v>0</v>
      </c>
      <c r="CY75" s="348"/>
      <c r="CZ75" s="349"/>
      <c r="DA75" s="483">
        <f ca="1">IF(ROUNDDOWN(($CU$75-$BX$72)*$AW$72/100,0)&gt;0,ROUNDDOWN(($CU$75-$BX$72)*$AW$72/100,0),0)</f>
        <v>0</v>
      </c>
      <c r="DB75" s="484"/>
      <c r="DC75" s="484"/>
      <c r="DD75" s="491">
        <f ca="1">IF(ROUNDDOWN((CU75-$BX$72)*$AZ$72/100,0)&gt;0,ROUNDDOWN((CU75-$BX$72)*$AZ$72/100,0),0)</f>
        <v>0</v>
      </c>
      <c r="DE75" s="491"/>
      <c r="DF75" s="491"/>
      <c r="DG75" s="481">
        <f ca="1">IF(BV75&gt;0,IF(ROUNDDOWN((CU75-$BX$72)*$BC$72/100,0)&gt;0,ROUNDDOWN((CU75-$BX$72)*$BC$72/100,0),0),0)</f>
        <v>0</v>
      </c>
      <c r="DH75" s="481"/>
      <c r="DI75" s="482"/>
      <c r="DJ75" s="496">
        <f t="shared" ref="DJ75" ca="1" si="13">IF(AW75="",0,$BF$72)</f>
        <v>0</v>
      </c>
      <c r="DK75" s="484"/>
      <c r="DL75" s="484"/>
      <c r="DM75" s="491">
        <f t="shared" ref="DM75" ca="1" si="14">IF($AW75="",0,$BI$72)</f>
        <v>0</v>
      </c>
      <c r="DN75" s="491"/>
      <c r="DO75" s="491"/>
      <c r="DP75" s="481">
        <f t="shared" ref="DP75:DP81" ca="1" si="15">IF($AW75="",0,IF(BB75=2,$BL$72,IF(OR(BF75=1,BJ75=1),$BL$72,0)))</f>
        <v>0</v>
      </c>
      <c r="DQ75" s="481"/>
      <c r="DR75" s="482"/>
      <c r="DS75" s="477">
        <f>IF(AW67="",0,BO72)</f>
        <v>0</v>
      </c>
      <c r="DT75" s="403"/>
      <c r="DU75" s="403"/>
      <c r="DV75" s="460">
        <f>IF(AW67="",0,BR72)</f>
        <v>0</v>
      </c>
      <c r="DW75" s="404"/>
      <c r="DX75" s="404"/>
      <c r="DY75" s="461">
        <f ca="1">IF(COUNTIF(BB75:BC81,2)&gt;0,BU72,IF(COUNTIF(BJ75:BK81,1)&gt;0,BU72,0))</f>
        <v>0</v>
      </c>
      <c r="DZ75" s="405"/>
      <c r="EA75" s="406"/>
      <c r="EB75" s="485">
        <f ca="1">DA75+DJ75+DS75</f>
        <v>0</v>
      </c>
      <c r="EC75" s="486"/>
      <c r="ED75" s="486"/>
      <c r="EE75" s="489">
        <f t="shared" ref="EE75" ca="1" si="16">DD75+DM75+DV75</f>
        <v>0</v>
      </c>
      <c r="EF75" s="489"/>
      <c r="EG75" s="489"/>
      <c r="EH75" s="467">
        <f t="shared" ref="EH75" ca="1" si="17">DG75+DP75+DY75</f>
        <v>0</v>
      </c>
      <c r="EI75" s="467"/>
      <c r="EJ75" s="468"/>
      <c r="EK75" s="464">
        <f ca="1">DA75</f>
        <v>0</v>
      </c>
      <c r="EL75" s="403"/>
      <c r="EM75" s="403"/>
      <c r="EN75" s="460">
        <f t="shared" ref="EN75:EN81" ca="1" si="18">DD75</f>
        <v>0</v>
      </c>
      <c r="EO75" s="404"/>
      <c r="EP75" s="404"/>
      <c r="EQ75" s="461">
        <f t="shared" ref="EQ75:EQ81" ca="1" si="19">DG75</f>
        <v>0</v>
      </c>
      <c r="ER75" s="405"/>
      <c r="ES75" s="406"/>
      <c r="ET75" s="459">
        <f ca="1">DJ75*$CA$72</f>
        <v>0</v>
      </c>
      <c r="EU75" s="403"/>
      <c r="EV75" s="403"/>
      <c r="EW75" s="404">
        <f ca="1">DM75*$CA$72</f>
        <v>0</v>
      </c>
      <c r="EX75" s="404"/>
      <c r="EY75" s="404"/>
      <c r="EZ75" s="405">
        <f t="shared" ref="EZ75:EZ81" ca="1" si="20">DP75*$CA$72</f>
        <v>0</v>
      </c>
      <c r="FA75" s="405"/>
      <c r="FB75" s="406"/>
      <c r="FC75" s="402">
        <f t="shared" ref="FC75:FC81" ca="1" si="21">DS75*$CA$72</f>
        <v>0</v>
      </c>
      <c r="FD75" s="403"/>
      <c r="FE75" s="403"/>
      <c r="FF75" s="404">
        <f t="shared" ref="FF75:FF81" ca="1" si="22">DV75*$CA$72</f>
        <v>0</v>
      </c>
      <c r="FG75" s="404"/>
      <c r="FH75" s="404"/>
      <c r="FI75" s="405">
        <f t="shared" ref="FI75:FI81" ca="1" si="23">DY75*$CA$72</f>
        <v>0</v>
      </c>
      <c r="FJ75" s="405"/>
      <c r="FK75" s="406"/>
      <c r="FL75" s="433">
        <f ca="1">EK75+ET75+FC75</f>
        <v>0</v>
      </c>
      <c r="FM75" s="434"/>
      <c r="FN75" s="434"/>
      <c r="FO75" s="435">
        <f ca="1">EN75+EW75+FF75</f>
        <v>0</v>
      </c>
      <c r="FP75" s="435"/>
      <c r="FQ75" s="435"/>
      <c r="FR75" s="436">
        <f ca="1">EQ75+EZ75+FI75</f>
        <v>0</v>
      </c>
      <c r="FS75" s="436"/>
      <c r="FT75" s="437"/>
      <c r="FU75" s="428">
        <f ca="1">IF(OR(BN75=1,BN75=2),IF(BY75=12,FL75,ROUNDUP((EK75+ET75)/12,3)*BY75+ROUNDUP(FC75/12,3)*$BY$82),IF(BY82=12,FL75,ROUNDUP(FL75/12,3)*$BY$82))</f>
        <v>0</v>
      </c>
      <c r="FV75" s="429"/>
      <c r="FW75" s="429"/>
      <c r="FX75" s="352">
        <f ca="1">IF(OR(BN75=1,BN75=2),IF(BY75=12,FO75,ROUNDUP((EN75+EW75)/12,3)*BY75+ROUNDUP(FF75/12,3)*$BY$82),IF(BY82=12,FO75,ROUNDUP(FO75/12,3)*$BY$82))</f>
        <v>0</v>
      </c>
      <c r="FY75" s="352"/>
      <c r="FZ75" s="352"/>
      <c r="GA75" s="350">
        <f ca="1">IF(BV75=12,FR75,ROUNDUP((EQ75+EZ75)/12,3)*BV75+IF(BV82=12,FI75,ROUNDUP(FI75/12,3)*$BV$82))</f>
        <v>0</v>
      </c>
      <c r="GB75" s="350"/>
      <c r="GC75" s="351"/>
      <c r="GE75" s="265" t="str">
        <f ca="1">IF(AW75="","",IF(BN75=1,BL75,$BK$62))</f>
        <v/>
      </c>
      <c r="GF75" s="299" t="str">
        <f ca="1">IF(GG75=2,BL75,"")</f>
        <v/>
      </c>
      <c r="GG75" s="266" t="str">
        <f ca="1">BN75</f>
        <v/>
      </c>
      <c r="GH75" s="260" t="str">
        <f t="shared" ref="GH75:GH81" ca="1" si="24">IF($GE75="","",IF(GH$74="","",IF($GG75=1,IF(($GE75)&lt;=GH$73,"",$GU75),IF($GG75=2,IF(($GF75)&lt;=GH$73,$GU75,""),$GU75))))</f>
        <v/>
      </c>
      <c r="GI75" s="260" t="str">
        <f t="shared" ref="GI75:GS81" ca="1" si="25">IF($GE75="","",IF(GI$74="","",IF($GG75=1,IF(($GE75)&lt;=GI$73,"",$GU75),IF($GG75=2,IF(($GF75)&lt;=GI$73,$GU75,""),$GU75))))</f>
        <v/>
      </c>
      <c r="GJ75" s="260" t="str">
        <f t="shared" ca="1" si="25"/>
        <v/>
      </c>
      <c r="GK75" s="260" t="str">
        <f t="shared" ca="1" si="25"/>
        <v/>
      </c>
      <c r="GL75" s="260" t="str">
        <f t="shared" ca="1" si="25"/>
        <v/>
      </c>
      <c r="GM75" s="260" t="str">
        <f t="shared" ca="1" si="25"/>
        <v/>
      </c>
      <c r="GN75" s="260" t="str">
        <f t="shared" ca="1" si="25"/>
        <v/>
      </c>
      <c r="GO75" s="260" t="str">
        <f t="shared" ca="1" si="25"/>
        <v/>
      </c>
      <c r="GP75" s="260" t="str">
        <f t="shared" ca="1" si="25"/>
        <v/>
      </c>
      <c r="GQ75" s="260" t="str">
        <f t="shared" ca="1" si="25"/>
        <v/>
      </c>
      <c r="GR75" s="260" t="str">
        <f t="shared" ca="1" si="25"/>
        <v/>
      </c>
      <c r="GS75" s="260" t="str">
        <f t="shared" ca="1" si="25"/>
        <v/>
      </c>
      <c r="GT75" s="254">
        <f ca="1">COUNT(GH75:GS75)</f>
        <v>0</v>
      </c>
      <c r="GU75" s="220" t="str">
        <f ca="1">IF(GE75="","",ROUNDUP(EK75/12,3)+ROUNDUP(ET75/12,3))</f>
        <v/>
      </c>
      <c r="GV75" s="258">
        <f ca="1">IF(GT75=12,EK75+ET75,SUM(GH75:GS75))</f>
        <v>0</v>
      </c>
      <c r="GX75" s="265" t="str">
        <f ca="1">GE75</f>
        <v/>
      </c>
      <c r="GY75" s="299" t="str">
        <f ca="1">GF75</f>
        <v/>
      </c>
      <c r="GZ75" s="266" t="str">
        <f ca="1">GG75</f>
        <v/>
      </c>
      <c r="HA75" s="260" t="str">
        <f ca="1">IF($GX75="","",IF(HA$74="","",IF($GZ75=1,IF(($GE75)&lt;=HA$73,"",$HN75),IF($GZ75=2,IF(($GY75)&lt;=HA$73,$HN75,""),$HN75))))</f>
        <v/>
      </c>
      <c r="HB75" s="260" t="str">
        <f t="shared" ref="HB75:HL81" ca="1" si="26">IF($GX75="","",IF(HB$74="","",IF($GZ75=1,IF(($GE75)&lt;=HB$73,"",$HN75),IF($GZ75=2,IF(($GY75)&lt;=HB$73,$HN75,""),$HN75))))</f>
        <v/>
      </c>
      <c r="HC75" s="260" t="str">
        <f t="shared" ca="1" si="26"/>
        <v/>
      </c>
      <c r="HD75" s="260" t="str">
        <f t="shared" ca="1" si="26"/>
        <v/>
      </c>
      <c r="HE75" s="260" t="str">
        <f t="shared" ca="1" si="26"/>
        <v/>
      </c>
      <c r="HF75" s="260" t="str">
        <f t="shared" ca="1" si="26"/>
        <v/>
      </c>
      <c r="HG75" s="260" t="str">
        <f t="shared" ca="1" si="26"/>
        <v/>
      </c>
      <c r="HH75" s="260" t="str">
        <f t="shared" ca="1" si="26"/>
        <v/>
      </c>
      <c r="HI75" s="260" t="str">
        <f t="shared" ca="1" si="26"/>
        <v/>
      </c>
      <c r="HJ75" s="260" t="str">
        <f t="shared" ca="1" si="26"/>
        <v/>
      </c>
      <c r="HK75" s="260" t="str">
        <f t="shared" ca="1" si="26"/>
        <v/>
      </c>
      <c r="HL75" s="260" t="str">
        <f t="shared" ca="1" si="26"/>
        <v/>
      </c>
      <c r="HM75" s="254">
        <f ca="1">COUNT(HA75:HL75)</f>
        <v>0</v>
      </c>
      <c r="HN75" s="220" t="str">
        <f ca="1">IF(GX75="","",ROUNDUP(EN75/12,3)+ROUNDUP(EW75/12,3))</f>
        <v/>
      </c>
      <c r="HO75" s="258">
        <f ca="1">IF(HM75=12,FC75+FL75,SUM(HA75:HL75))</f>
        <v>0</v>
      </c>
      <c r="HQ75" s="273" t="str">
        <f ca="1">BD75</f>
        <v/>
      </c>
      <c r="HR75" s="274" t="str">
        <f ca="1">BF75</f>
        <v/>
      </c>
      <c r="HS75" s="273" t="str">
        <f ca="1">BH75</f>
        <v/>
      </c>
      <c r="HT75" s="292" t="str">
        <f ca="1">BJ75</f>
        <v/>
      </c>
      <c r="HU75" s="273" t="str">
        <f ca="1">IF(BP75="","",BP75)</f>
        <v/>
      </c>
      <c r="HV75" s="295" t="str">
        <f ca="1">IF(BS75="","",BS75)</f>
        <v/>
      </c>
      <c r="HW75" s="275" t="str">
        <f ca="1">IF($HS$73="","",IF(HW$74="","",IF($HR75=1,IF(($HQ75-1)&lt;=HW$73,"",$IJ75),IF($HT75=1,IF(($HS75-1)&lt;=HW$73,$IJ75,""),IF($HU75="","",IF(($HU75-1)&lt;=HW$73,$IJ75,""))))))</f>
        <v/>
      </c>
      <c r="HX75" s="275" t="str">
        <f t="shared" ref="HX75:IH81" ca="1" si="27">IF($HS$73="","",IF(HX$74="","",IF($HR75=1,IF(($HQ75-1)&lt;=HX$73,"",$IJ75),IF($HT75=1,IF(($HS75-1)&lt;=HX$73,$IJ75,""),IF($HU75="","",IF(($HU75-1)&lt;=HX$73,$IJ75,""))))))</f>
        <v/>
      </c>
      <c r="HY75" s="275" t="str">
        <f t="shared" ca="1" si="27"/>
        <v/>
      </c>
      <c r="HZ75" s="275" t="str">
        <f t="shared" ca="1" si="27"/>
        <v/>
      </c>
      <c r="IA75" s="275" t="str">
        <f t="shared" ca="1" si="27"/>
        <v/>
      </c>
      <c r="IB75" s="275" t="str">
        <f t="shared" ca="1" si="27"/>
        <v/>
      </c>
      <c r="IC75" s="275" t="str">
        <f t="shared" ca="1" si="27"/>
        <v/>
      </c>
      <c r="ID75" s="275" t="str">
        <f t="shared" ca="1" si="27"/>
        <v/>
      </c>
      <c r="IE75" s="275" t="str">
        <f t="shared" ca="1" si="27"/>
        <v/>
      </c>
      <c r="IF75" s="275" t="str">
        <f t="shared" ca="1" si="27"/>
        <v/>
      </c>
      <c r="IG75" s="275" t="str">
        <f t="shared" ca="1" si="27"/>
        <v/>
      </c>
      <c r="IH75" s="275" t="str">
        <f t="shared" ca="1" si="27"/>
        <v/>
      </c>
      <c r="II75" s="270">
        <f ca="1">COUNT(HW75:IH75)</f>
        <v>0</v>
      </c>
      <c r="IJ75" s="276" t="str">
        <f ca="1">IF(AND(HQ75="",HS75=""),IF(HU75="","",ROUNDUP(EQ75/12,3)+ROUNDUP(EZ75/12,3)),ROUNDUP(EQ75/12,3)+ROUNDUP(EZ75/12,3))</f>
        <v/>
      </c>
      <c r="IK75" s="272">
        <f ca="1">IF(II75=12,FU75+GD75,SUM(HW75:IH75))</f>
        <v>0</v>
      </c>
    </row>
    <row r="76" spans="1:245" ht="36" customHeight="1">
      <c r="A76" s="228" t="str">
        <f ca="1">IF(AU76+AV76&gt;0,"×","")</f>
        <v/>
      </c>
      <c r="B76" s="584" t="s">
        <v>6</v>
      </c>
      <c r="C76" s="329"/>
      <c r="D76" s="329"/>
      <c r="E76" s="585"/>
      <c r="F76" s="500"/>
      <c r="G76" s="501"/>
      <c r="H76" s="502"/>
      <c r="I76" s="502"/>
      <c r="J76" s="502"/>
      <c r="K76" s="502"/>
      <c r="L76" s="502"/>
      <c r="M76" s="503"/>
      <c r="N76" s="508"/>
      <c r="O76" s="508"/>
      <c r="P76" s="508"/>
      <c r="Q76" s="508"/>
      <c r="R76" s="508"/>
      <c r="S76" s="509"/>
      <c r="T76" s="510"/>
      <c r="U76" s="510"/>
      <c r="V76" s="510"/>
      <c r="W76" s="511"/>
      <c r="X76" s="510"/>
      <c r="Y76" s="510"/>
      <c r="Z76" s="510"/>
      <c r="AA76" s="510"/>
      <c r="AB76" s="570"/>
      <c r="AC76" s="383"/>
      <c r="AD76" s="384"/>
      <c r="AE76" s="384"/>
      <c r="AF76" s="384"/>
      <c r="AG76" s="384"/>
      <c r="AH76" s="512"/>
      <c r="AI76" s="513"/>
      <c r="AJ76" s="513"/>
      <c r="AK76" s="513"/>
      <c r="AL76" s="514"/>
      <c r="AM76" s="161"/>
      <c r="AU76" s="210">
        <f ca="1">IF($O$62="",IF(ISERROR(DATEVALUE(VLOOKUP(F76,テーブル!$A$2:$B$4,2,FALSE)&amp;H76&amp;"."&amp;J76&amp;"."&amp;L76)),IF(F76="",0,1),IF(DATEVALUE(VLOOKUP(F76,テーブル!$A$2:$B$4,2,FALSE)&amp;H76&amp;"."&amp;J76&amp;"."&amp;L76)&gt;$BK$62,1,0)),1)</f>
        <v>0</v>
      </c>
      <c r="AV76" s="210">
        <f>IF(ISERROR(DATEVALUE(VLOOKUP(F76,テーブル!$A$2:$B$4,2,FALSE)&amp;H76&amp;"."&amp;J76&amp;"."&amp;L76)),IF(F76="",0,1),IF(ROUNDDOWN(YEARFRAC(DATEVALUE(VLOOKUP(F76,テーブル!$A$2:$B$4,2,FALSE)&amp;H76&amp;"."&amp;J76&amp;"."&amp;L76),$AZ$62,1),0)&gt;74,1,0))</f>
        <v>0</v>
      </c>
      <c r="AW76" s="387" t="str">
        <f ca="1">IF(OR(AU76=1,AV76=1),"",IF(ISERROR(DATEVALUE(VLOOKUP(F76,テーブル!$A$2:$B$4,2,FALSE)&amp;H76&amp;"."&amp;J76&amp;"."&amp;L76)),"",IF(DATEVALUE(VLOOKUP(F76,テーブル!$A$2:$B$4,2,FALSE)&amp;H76&amp;"."&amp;J76&amp;"."&amp;L76)&gt;$BK$62,"",DATEVALUE(VLOOKUP(F76,テーブル!$A$2:$B$4,2,FALSE)&amp;H76&amp;"."&amp;J76&amp;"."&amp;L76))))</f>
        <v/>
      </c>
      <c r="AX76" s="387"/>
      <c r="AY76" s="387"/>
      <c r="AZ76" s="373" t="str">
        <f t="shared" ref="AZ76:AZ81" ca="1" si="28">IF(AW76="","",ROUNDDOWN(YEARFRAC(AW76,$AZ$62,1),0))</f>
        <v/>
      </c>
      <c r="BA76" s="373"/>
      <c r="BB76" s="373" t="str">
        <f ca="1">IF(AW76="","",VLOOKUP(AZ76,テーブル!C:D,2,FALSE))</f>
        <v/>
      </c>
      <c r="BC76" s="373"/>
      <c r="BD76" s="387" t="str">
        <f t="shared" ref="BD76:BD81" ca="1" si="29">IF(AZ76=64,DATE(YEAR(AW76)+65,MONTH(AW76),DAY(AW76)),"")</f>
        <v/>
      </c>
      <c r="BE76" s="387"/>
      <c r="BF76" s="390" t="str">
        <f t="shared" ref="BF76:BF81" ca="1" si="30">IF(BD76&gt;$AZ$62,IF($BK$62&gt;=BD76,1,""),"")</f>
        <v/>
      </c>
      <c r="BG76" s="390"/>
      <c r="BH76" s="387" t="str">
        <f t="shared" ref="BH76:BH81" ca="1" si="31">IF(AZ76=39,DATE(YEAR(AW76)+40,MONTH(AW76),DAY(AW76)),"")</f>
        <v/>
      </c>
      <c r="BI76" s="387"/>
      <c r="BJ76" s="390" t="str">
        <f t="shared" ref="BJ76:BJ81" ca="1" si="32">IF(BH76&gt;$AZ$62,IF($BK$62&gt;BH76,1,""),"")</f>
        <v/>
      </c>
      <c r="BK76" s="390"/>
      <c r="BL76" s="636" t="str">
        <f t="shared" ca="1" si="9"/>
        <v/>
      </c>
      <c r="BM76" s="637"/>
      <c r="BN76" s="522" t="str">
        <f t="shared" ca="1" si="10"/>
        <v/>
      </c>
      <c r="BO76" s="524"/>
      <c r="BP76" s="525" t="str">
        <f t="shared" ref="BP76:BP81" ca="1" si="33">IF(BB76=2,$AZ$62,IF(BJ76=1,BH76-1,""))</f>
        <v/>
      </c>
      <c r="BQ76" s="526"/>
      <c r="BR76" s="527"/>
      <c r="BS76" s="525" t="str">
        <f t="shared" ref="BS76:BS81" ca="1" si="34">IF(BB76=2,IF(BF76=1,BD76-1,$BK$62+1),IF(BJ76=1,$BK$62+1,""))</f>
        <v/>
      </c>
      <c r="BT76" s="526"/>
      <c r="BU76" s="527"/>
      <c r="BV76" s="390">
        <f t="shared" ref="BV76:BV81" ca="1" si="35">IF(AW76="",0,IF(BP76="",0,DATEDIF(BP76,BS76,"M")+1))</f>
        <v>0</v>
      </c>
      <c r="BW76" s="390"/>
      <c r="BX76" s="390"/>
      <c r="BY76" s="522">
        <f t="shared" ref="BY76:BY81" ca="1" si="36">IF(AW76="",0,IF(BN76=1,DATEDIF($AZ$62,BL76,"M")+1,IF(BN76=2,DATEDIF(BL76,$BK$62,"M")+1,$BQ$62)))</f>
        <v>0</v>
      </c>
      <c r="BZ76" s="523"/>
      <c r="CA76" s="524"/>
      <c r="CB76" s="348">
        <f t="shared" ref="CB76:CB81" si="37">N76</f>
        <v>0</v>
      </c>
      <c r="CC76" s="348"/>
      <c r="CD76" s="348"/>
      <c r="CE76" s="348">
        <f t="shared" ref="CE76:CE81" si="38">S76</f>
        <v>0</v>
      </c>
      <c r="CF76" s="348"/>
      <c r="CG76" s="348"/>
      <c r="CH76" s="348">
        <f t="shared" ref="CH76:CH81" si="39">X76</f>
        <v>0</v>
      </c>
      <c r="CI76" s="348"/>
      <c r="CJ76" s="348"/>
      <c r="CK76" s="373" t="str">
        <f ca="1">IF(AW76="","",IF(BB76=5,1,IF(BB76=4,IF(AW76&gt;($BF$62-1),1,""),"")))</f>
        <v/>
      </c>
      <c r="CL76" s="373"/>
      <c r="CM76" s="373" t="str">
        <f ca="1">IF(AW76="","",IF(ISERROR(VLOOKUP(AC76,テーブル!G:H,2,FALSE)),"",VLOOKUP(AC76,テーブル!G:H,2,FALSE)))</f>
        <v/>
      </c>
      <c r="CN76" s="373"/>
      <c r="CO76" s="373" t="str">
        <f ca="1">IF(AW76="","",IF(ISERROR(VLOOKUP(AH76,テーブル!I:J,2,FALSE)),"",VLOOKUP(AH76,テーブル!I:J,2,FALSE)))</f>
        <v/>
      </c>
      <c r="CP76" s="373"/>
      <c r="CQ76" s="373" t="str">
        <f t="shared" ca="1" si="11"/>
        <v/>
      </c>
      <c r="CR76" s="373"/>
      <c r="CS76" s="373" t="str">
        <f t="shared" ca="1" si="12"/>
        <v/>
      </c>
      <c r="CT76" s="373"/>
      <c r="CU76" s="348">
        <f ca="1">所得換算!F103</f>
        <v>0</v>
      </c>
      <c r="CV76" s="348"/>
      <c r="CW76" s="348"/>
      <c r="CX76" s="348">
        <f ca="1">所得換算!F113</f>
        <v>0</v>
      </c>
      <c r="CY76" s="348"/>
      <c r="CZ76" s="349"/>
      <c r="DA76" s="483">
        <f t="shared" ref="DA76:DA81" ca="1" si="40">IF(ROUNDDOWN((CU76-$BX$72)*$AW$72/100,0)&gt;0,ROUNDDOWN((CU76-$BX$72)*$AW$72/100,0),0)</f>
        <v>0</v>
      </c>
      <c r="DB76" s="484"/>
      <c r="DC76" s="484"/>
      <c r="DD76" s="491">
        <f t="shared" ref="DD76:DD81" ca="1" si="41">IF(ROUNDDOWN((CU76-$BX$72)*$AZ$72/100,0)&gt;0,ROUNDDOWN((CU76-$BX$72)*$AZ$72/100,0),0)</f>
        <v>0</v>
      </c>
      <c r="DE76" s="491"/>
      <c r="DF76" s="491"/>
      <c r="DG76" s="481">
        <f t="shared" ref="DG76:DG81" ca="1" si="42">IF(BV76&gt;0,IF(ROUNDDOWN((CU76-$BX$72)*$BC$72/100,0)&gt;0,ROUNDDOWN((CU76-$BX$72)*$BC$72/100,0),0),0)</f>
        <v>0</v>
      </c>
      <c r="DH76" s="481"/>
      <c r="DI76" s="482"/>
      <c r="DJ76" s="496">
        <f ca="1">IF(AW76="",0,IF(CK76=1,$BF$72/2,$BF$72))</f>
        <v>0</v>
      </c>
      <c r="DK76" s="484"/>
      <c r="DL76" s="484"/>
      <c r="DM76" s="491">
        <f ca="1">IF($AW76="",0,IF(CK76=1,$BI$72/2,$BI$72))</f>
        <v>0</v>
      </c>
      <c r="DN76" s="491"/>
      <c r="DO76" s="491"/>
      <c r="DP76" s="481">
        <f ca="1">IF($AW76="",0,IF(BB76=2,$BL$72,IF(OR(BF76=1,BJ76=1),$BL$72,0)))</f>
        <v>0</v>
      </c>
      <c r="DQ76" s="481"/>
      <c r="DR76" s="482"/>
      <c r="DS76" s="459">
        <v>0</v>
      </c>
      <c r="DT76" s="403"/>
      <c r="DU76" s="403"/>
      <c r="DV76" s="404">
        <v>0</v>
      </c>
      <c r="DW76" s="404"/>
      <c r="DX76" s="404"/>
      <c r="DY76" s="405">
        <v>0</v>
      </c>
      <c r="DZ76" s="405"/>
      <c r="EA76" s="406"/>
      <c r="EB76" s="485">
        <f t="shared" ref="EB76:EB81" ca="1" si="43">DA76+DJ76</f>
        <v>0</v>
      </c>
      <c r="EC76" s="486"/>
      <c r="ED76" s="486"/>
      <c r="EE76" s="489">
        <f t="shared" ref="EE76:EE81" ca="1" si="44">DD76+DM76</f>
        <v>0</v>
      </c>
      <c r="EF76" s="489"/>
      <c r="EG76" s="489"/>
      <c r="EH76" s="467">
        <f t="shared" ref="EH76:EH81" ca="1" si="45">DG76+DP76</f>
        <v>0</v>
      </c>
      <c r="EI76" s="467"/>
      <c r="EJ76" s="468"/>
      <c r="EK76" s="464">
        <f t="shared" ref="EK76:EK81" ca="1" si="46">DA76</f>
        <v>0</v>
      </c>
      <c r="EL76" s="403"/>
      <c r="EM76" s="403"/>
      <c r="EN76" s="460">
        <f t="shared" ca="1" si="18"/>
        <v>0</v>
      </c>
      <c r="EO76" s="404"/>
      <c r="EP76" s="404"/>
      <c r="EQ76" s="461">
        <f t="shared" ca="1" si="19"/>
        <v>0</v>
      </c>
      <c r="ER76" s="405"/>
      <c r="ES76" s="406"/>
      <c r="ET76" s="459">
        <f t="shared" ref="ET76:ET81" ca="1" si="47">DJ76*$CA$72</f>
        <v>0</v>
      </c>
      <c r="EU76" s="403"/>
      <c r="EV76" s="403"/>
      <c r="EW76" s="404">
        <f t="shared" ref="EW76:EW81" ca="1" si="48">DM76*$CA$72</f>
        <v>0</v>
      </c>
      <c r="EX76" s="404"/>
      <c r="EY76" s="404"/>
      <c r="EZ76" s="405">
        <f t="shared" ca="1" si="20"/>
        <v>0</v>
      </c>
      <c r="FA76" s="405"/>
      <c r="FB76" s="406"/>
      <c r="FC76" s="402">
        <f t="shared" ca="1" si="21"/>
        <v>0</v>
      </c>
      <c r="FD76" s="403"/>
      <c r="FE76" s="403"/>
      <c r="FF76" s="404">
        <f t="shared" ca="1" si="22"/>
        <v>0</v>
      </c>
      <c r="FG76" s="404"/>
      <c r="FH76" s="404"/>
      <c r="FI76" s="405">
        <f t="shared" ca="1" si="23"/>
        <v>0</v>
      </c>
      <c r="FJ76" s="405"/>
      <c r="FK76" s="406"/>
      <c r="FL76" s="433">
        <f t="shared" ref="FL76:FL81" ca="1" si="49">EK76+ET76</f>
        <v>0</v>
      </c>
      <c r="FM76" s="434"/>
      <c r="FN76" s="434"/>
      <c r="FO76" s="435">
        <f t="shared" ref="FO76:FO81" ca="1" si="50">EN76+EW76</f>
        <v>0</v>
      </c>
      <c r="FP76" s="435"/>
      <c r="FQ76" s="435"/>
      <c r="FR76" s="436">
        <f t="shared" ref="FR76:FR81" ca="1" si="51">EQ76+EZ76</f>
        <v>0</v>
      </c>
      <c r="FS76" s="436"/>
      <c r="FT76" s="437"/>
      <c r="FU76" s="428">
        <f t="shared" ref="FU76:FU81" ca="1" si="52">IF(OR(BN76=1,BN76=2),IF(BY76=12,FL76,ROUNDUP((EK76+ET76)/12,3)*BY76+ROUNDUP(FC76/12,3)*$BY$82),IF(BY83=12,FL76,ROUNDUP(FL76/12,3)*$BY$82))</f>
        <v>0</v>
      </c>
      <c r="FV76" s="429"/>
      <c r="FW76" s="429"/>
      <c r="FX76" s="352">
        <f t="shared" ref="FX76:FX81" ca="1" si="53">IF(OR(BN76=1,BN76=2),IF(BY76=12,FO76,ROUNDUP((EN76+EW76)/12,3)*BY76+ROUNDUP(FF76/12,3)*$BY$82),IF(BY83=12,FO76,ROUNDUP(FO76/12,3)*$BY$82))</f>
        <v>0</v>
      </c>
      <c r="FY76" s="352"/>
      <c r="FZ76" s="352"/>
      <c r="GA76" s="350">
        <f t="shared" ref="GA76:GA81" ca="1" si="54">IF(BV76=12,FR76,ROUNDUP((EQ76+EZ76)/12,3)*BV76+ROUNDUP(FI76/12,3)*$BV$82)</f>
        <v>0</v>
      </c>
      <c r="GB76" s="350"/>
      <c r="GC76" s="351"/>
      <c r="GE76" s="261" t="str">
        <f t="shared" ref="GE76:GE81" ca="1" si="55">IF(AW76="","",IF(BN76=1,BL76,$BK$62))</f>
        <v/>
      </c>
      <c r="GF76" s="255" t="str">
        <f t="shared" ref="GF76:GF81" ca="1" si="56">IF(GG76=2,BL76,"")</f>
        <v/>
      </c>
      <c r="GG76" s="262" t="str">
        <f t="shared" ref="GG76:GG81" ca="1" si="57">BN76</f>
        <v/>
      </c>
      <c r="GH76" s="260" t="str">
        <f t="shared" ca="1" si="24"/>
        <v/>
      </c>
      <c r="GI76" s="260" t="str">
        <f t="shared" ca="1" si="25"/>
        <v/>
      </c>
      <c r="GJ76" s="260" t="str">
        <f t="shared" ca="1" si="25"/>
        <v/>
      </c>
      <c r="GK76" s="260" t="str">
        <f t="shared" ca="1" si="25"/>
        <v/>
      </c>
      <c r="GL76" s="260" t="str">
        <f t="shared" ca="1" si="25"/>
        <v/>
      </c>
      <c r="GM76" s="260" t="str">
        <f t="shared" ca="1" si="25"/>
        <v/>
      </c>
      <c r="GN76" s="260" t="str">
        <f t="shared" ca="1" si="25"/>
        <v/>
      </c>
      <c r="GO76" s="260" t="str">
        <f t="shared" ca="1" si="25"/>
        <v/>
      </c>
      <c r="GP76" s="260" t="str">
        <f t="shared" ca="1" si="25"/>
        <v/>
      </c>
      <c r="GQ76" s="260" t="str">
        <f t="shared" ca="1" si="25"/>
        <v/>
      </c>
      <c r="GR76" s="260" t="str">
        <f t="shared" ca="1" si="25"/>
        <v/>
      </c>
      <c r="GS76" s="260" t="str">
        <f t="shared" ca="1" si="25"/>
        <v/>
      </c>
      <c r="GT76" s="254">
        <f t="shared" ref="GT76:GT81" ca="1" si="58">COUNT(GH76:GS76)</f>
        <v>0</v>
      </c>
      <c r="GU76" s="220" t="str">
        <f t="shared" ref="GU76:GU81" ca="1" si="59">IF(GE76="","",ROUNDUP(EK76/12,3)+ROUNDUP(ET76/12,3))</f>
        <v/>
      </c>
      <c r="GV76" s="258">
        <f t="shared" ref="GV76:GV81" ca="1" si="60">IF(GT76=12,EK76+ET76,SUM(GH76:GS76))</f>
        <v>0</v>
      </c>
      <c r="GX76" s="261" t="str">
        <f t="shared" ref="GX76:GX81" ca="1" si="61">GE76</f>
        <v/>
      </c>
      <c r="GY76" s="255" t="str">
        <f t="shared" ref="GY76:GY81" ca="1" si="62">GF76</f>
        <v/>
      </c>
      <c r="GZ76" s="262" t="str">
        <f t="shared" ref="GZ76:GZ81" ca="1" si="63">GG76</f>
        <v/>
      </c>
      <c r="HA76" s="260" t="str">
        <f t="shared" ref="HA76:HA81" ca="1" si="64">IF($GX76="","",IF(HA$74="","",IF($GZ76=1,IF(($GE76)&lt;=HA$73,"",$HN76),IF($GZ76=2,IF(($GY76)&lt;=HA$73,$HN76,""),$HN76))))</f>
        <v/>
      </c>
      <c r="HB76" s="260" t="str">
        <f t="shared" ca="1" si="26"/>
        <v/>
      </c>
      <c r="HC76" s="260" t="str">
        <f t="shared" ca="1" si="26"/>
        <v/>
      </c>
      <c r="HD76" s="260" t="str">
        <f t="shared" ca="1" si="26"/>
        <v/>
      </c>
      <c r="HE76" s="260" t="str">
        <f t="shared" ca="1" si="26"/>
        <v/>
      </c>
      <c r="HF76" s="260" t="str">
        <f t="shared" ca="1" si="26"/>
        <v/>
      </c>
      <c r="HG76" s="260" t="str">
        <f t="shared" ca="1" si="26"/>
        <v/>
      </c>
      <c r="HH76" s="260" t="str">
        <f t="shared" ca="1" si="26"/>
        <v/>
      </c>
      <c r="HI76" s="260" t="str">
        <f t="shared" ca="1" si="26"/>
        <v/>
      </c>
      <c r="HJ76" s="260" t="str">
        <f t="shared" ca="1" si="26"/>
        <v/>
      </c>
      <c r="HK76" s="260" t="str">
        <f t="shared" ca="1" si="26"/>
        <v/>
      </c>
      <c r="HL76" s="260" t="str">
        <f t="shared" ca="1" si="26"/>
        <v/>
      </c>
      <c r="HM76" s="254">
        <f t="shared" ref="HM76:HM81" ca="1" si="65">COUNT(HA76:HL76)</f>
        <v>0</v>
      </c>
      <c r="HN76" s="220" t="str">
        <f ca="1">IF(GX76="","",ROUNDUP(EN76/12,3)+ROUNDUP(EW76/12,3))</f>
        <v/>
      </c>
      <c r="HO76" s="258">
        <f t="shared" ref="HO76:HO81" ca="1" si="66">IF(HM76=12,FC76+FL76,SUM(HA76:HL76))</f>
        <v>0</v>
      </c>
      <c r="HQ76" s="277" t="str">
        <f t="shared" ref="HQ76:HQ81" ca="1" si="67">BD76</f>
        <v/>
      </c>
      <c r="HR76" s="278" t="str">
        <f t="shared" ref="HR76:HR81" ca="1" si="68">BF76</f>
        <v/>
      </c>
      <c r="HS76" s="277" t="str">
        <f t="shared" ref="HS76:HS81" ca="1" si="69">BH76</f>
        <v/>
      </c>
      <c r="HT76" s="293" t="str">
        <f t="shared" ref="HT76:HT81" ca="1" si="70">BJ76</f>
        <v/>
      </c>
      <c r="HU76" s="277" t="str">
        <f t="shared" ref="HU76:HU81" ca="1" si="71">IF(BP76="","",BP76)</f>
        <v/>
      </c>
      <c r="HV76" s="296" t="str">
        <f t="shared" ref="HV76:HV81" ca="1" si="72">IF(BS76="","",BS76)</f>
        <v/>
      </c>
      <c r="HW76" s="275" t="str">
        <f t="shared" ref="HW76:HW81" ca="1" si="73">IF($HS$73="","",IF(HW$74="","",IF($HR76=1,IF(($HQ76-1)&lt;=HW$73,"",$IJ76),IF($HT76=1,IF(($HS76-1)&lt;=HW$73,$IJ76,""),IF($HU76="","",IF(($HU76-1)&lt;=HW$73,$IJ76,""))))))</f>
        <v/>
      </c>
      <c r="HX76" s="275" t="str">
        <f t="shared" ca="1" si="27"/>
        <v/>
      </c>
      <c r="HY76" s="275" t="str">
        <f t="shared" ca="1" si="27"/>
        <v/>
      </c>
      <c r="HZ76" s="275" t="str">
        <f t="shared" ca="1" si="27"/>
        <v/>
      </c>
      <c r="IA76" s="275" t="str">
        <f t="shared" ca="1" si="27"/>
        <v/>
      </c>
      <c r="IB76" s="275" t="str">
        <f t="shared" ca="1" si="27"/>
        <v/>
      </c>
      <c r="IC76" s="275" t="str">
        <f t="shared" ca="1" si="27"/>
        <v/>
      </c>
      <c r="ID76" s="275" t="str">
        <f t="shared" ca="1" si="27"/>
        <v/>
      </c>
      <c r="IE76" s="275" t="str">
        <f t="shared" ca="1" si="27"/>
        <v/>
      </c>
      <c r="IF76" s="275" t="str">
        <f t="shared" ca="1" si="27"/>
        <v/>
      </c>
      <c r="IG76" s="275" t="str">
        <f t="shared" ca="1" si="27"/>
        <v/>
      </c>
      <c r="IH76" s="275" t="str">
        <f t="shared" ca="1" si="27"/>
        <v/>
      </c>
      <c r="II76" s="270">
        <f t="shared" ref="II76:II81" ca="1" si="74">COUNT(HW76:IH76)</f>
        <v>0</v>
      </c>
      <c r="IJ76" s="276" t="str">
        <f t="shared" ref="IJ76:IJ81" ca="1" si="75">IF(AND(HQ76="",HS76=""),IF(HU76="","",ROUNDUP(EQ76/12,3)+ROUNDUP(EZ76/12,3)),ROUNDUP(EQ76/12,3)+ROUNDUP(EZ76/12,3))</f>
        <v/>
      </c>
      <c r="IK76" s="272">
        <f t="shared" ref="IK76:IK81" ca="1" si="76">IF(II76=12,FU76+GD76,SUM(HW76:IH76))</f>
        <v>0</v>
      </c>
    </row>
    <row r="77" spans="1:245" ht="36" customHeight="1">
      <c r="A77" s="228" t="str">
        <f t="shared" ref="A77:A81" ca="1" si="77">IF(AU77+AV77&gt;0,"×","")</f>
        <v/>
      </c>
      <c r="B77" s="584" t="s">
        <v>7</v>
      </c>
      <c r="C77" s="329"/>
      <c r="D77" s="329"/>
      <c r="E77" s="585"/>
      <c r="F77" s="500"/>
      <c r="G77" s="501"/>
      <c r="H77" s="502"/>
      <c r="I77" s="502"/>
      <c r="J77" s="502"/>
      <c r="K77" s="502"/>
      <c r="L77" s="502"/>
      <c r="M77" s="503"/>
      <c r="N77" s="510"/>
      <c r="O77" s="510"/>
      <c r="P77" s="510"/>
      <c r="Q77" s="510"/>
      <c r="R77" s="510"/>
      <c r="S77" s="653"/>
      <c r="T77" s="508"/>
      <c r="U77" s="508"/>
      <c r="V77" s="508"/>
      <c r="W77" s="654"/>
      <c r="X77" s="508"/>
      <c r="Y77" s="508"/>
      <c r="Z77" s="508"/>
      <c r="AA77" s="508"/>
      <c r="AB77" s="638"/>
      <c r="AC77" s="542"/>
      <c r="AD77" s="543"/>
      <c r="AE77" s="543"/>
      <c r="AF77" s="543"/>
      <c r="AG77" s="543"/>
      <c r="AH77" s="512"/>
      <c r="AI77" s="513"/>
      <c r="AJ77" s="513"/>
      <c r="AK77" s="513"/>
      <c r="AL77" s="514"/>
      <c r="AM77" s="161"/>
      <c r="AU77" s="210">
        <f ca="1">IF($O$62="",IF(ISERROR(DATEVALUE(VLOOKUP(F77,テーブル!$A$2:$B$4,2,FALSE)&amp;H77&amp;"."&amp;J77&amp;"."&amp;L77)),IF(F77="",0,1),IF(DATEVALUE(VLOOKUP(F77,テーブル!$A$2:$B$4,2,FALSE)&amp;H77&amp;"."&amp;J77&amp;"."&amp;L77)&gt;$BK$62,1,0)),1)</f>
        <v>0</v>
      </c>
      <c r="AV77" s="210">
        <f>IF(ISERROR(DATEVALUE(VLOOKUP(F77,テーブル!$A$2:$B$4,2,FALSE)&amp;H77&amp;"."&amp;J77&amp;"."&amp;L77)),IF(F77="",0,1),IF(ROUNDDOWN(YEARFRAC(DATEVALUE(VLOOKUP(F77,テーブル!$A$2:$B$4,2,FALSE)&amp;H77&amp;"."&amp;J77&amp;"."&amp;L77),$AZ$62,1),0)&gt;74,1,0))</f>
        <v>0</v>
      </c>
      <c r="AW77" s="387" t="str">
        <f ca="1">IF(OR(AU77=1,AV77=1),"",IF(ISERROR(DATEVALUE(VLOOKUP(F77,テーブル!$A$2:$B$4,2,FALSE)&amp;H77&amp;"."&amp;J77&amp;"."&amp;L77)),"",IF(DATEVALUE(VLOOKUP(F77,テーブル!$A$2:$B$4,2,FALSE)&amp;H77&amp;"."&amp;J77&amp;"."&amp;L77)&gt;$BK$62,"",DATEVALUE(VLOOKUP(F77,テーブル!$A$2:$B$4,2,FALSE)&amp;H77&amp;"."&amp;J77&amp;"."&amp;L77))))</f>
        <v/>
      </c>
      <c r="AX77" s="387"/>
      <c r="AY77" s="387"/>
      <c r="AZ77" s="373" t="str">
        <f t="shared" ca="1" si="28"/>
        <v/>
      </c>
      <c r="BA77" s="373"/>
      <c r="BB77" s="373" t="str">
        <f ca="1">IF(AW77="","",VLOOKUP(AZ77,テーブル!C:D,2,FALSE))</f>
        <v/>
      </c>
      <c r="BC77" s="373"/>
      <c r="BD77" s="387" t="str">
        <f t="shared" ca="1" si="29"/>
        <v/>
      </c>
      <c r="BE77" s="387"/>
      <c r="BF77" s="390" t="str">
        <f t="shared" ca="1" si="30"/>
        <v/>
      </c>
      <c r="BG77" s="390"/>
      <c r="BH77" s="387" t="str">
        <f t="shared" ca="1" si="31"/>
        <v/>
      </c>
      <c r="BI77" s="387"/>
      <c r="BJ77" s="390" t="str">
        <f t="shared" ca="1" si="32"/>
        <v/>
      </c>
      <c r="BK77" s="390"/>
      <c r="BL77" s="636" t="str">
        <f ca="1">IF(AZ77=74,DATE(YEAR(AW77)+75,MONTH(AW77),DAY(AW77)),IF(AZ77=0,IF(AW77&gt;$AZ$62,AW77,IF(AW77&gt;=$BN$62,AW77,"")),""))</f>
        <v/>
      </c>
      <c r="BM77" s="637"/>
      <c r="BN77" s="522" t="str">
        <f ca="1">IF(BL77="","",IF($BK$62&gt;=BL77-1,IF(AZ77=0,IF(BL77&gt;=$BN$62,2,1),1),""))</f>
        <v/>
      </c>
      <c r="BO77" s="524"/>
      <c r="BP77" s="525" t="str">
        <f t="shared" ca="1" si="33"/>
        <v/>
      </c>
      <c r="BQ77" s="526"/>
      <c r="BR77" s="527"/>
      <c r="BS77" s="525" t="str">
        <f t="shared" ca="1" si="34"/>
        <v/>
      </c>
      <c r="BT77" s="526"/>
      <c r="BU77" s="527"/>
      <c r="BV77" s="390">
        <f t="shared" ca="1" si="35"/>
        <v>0</v>
      </c>
      <c r="BW77" s="390"/>
      <c r="BX77" s="390"/>
      <c r="BY77" s="522">
        <f t="shared" ca="1" si="36"/>
        <v>0</v>
      </c>
      <c r="BZ77" s="523"/>
      <c r="CA77" s="524"/>
      <c r="CB77" s="348">
        <f t="shared" si="37"/>
        <v>0</v>
      </c>
      <c r="CC77" s="348"/>
      <c r="CD77" s="348"/>
      <c r="CE77" s="348">
        <f t="shared" si="38"/>
        <v>0</v>
      </c>
      <c r="CF77" s="348"/>
      <c r="CG77" s="348"/>
      <c r="CH77" s="348">
        <f t="shared" si="39"/>
        <v>0</v>
      </c>
      <c r="CI77" s="348"/>
      <c r="CJ77" s="348"/>
      <c r="CK77" s="373" t="str">
        <f t="shared" ref="CK77:CK81" ca="1" si="78">IF(AW77="","",IF(BB77=5,1,IF(BB77=4,IF(AW77&gt;($BF$62-1),1,""),"")))</f>
        <v/>
      </c>
      <c r="CL77" s="373"/>
      <c r="CM77" s="373" t="str">
        <f ca="1">IF(AW77="","",IF(ISERROR(VLOOKUP(AC77,テーブル!G:H,2,FALSE)),"",VLOOKUP(AC77,テーブル!G:H,2,FALSE)))</f>
        <v/>
      </c>
      <c r="CN77" s="373"/>
      <c r="CO77" s="373" t="str">
        <f ca="1">IF(AW77="","",IF(ISERROR(VLOOKUP(AH77,テーブル!I:J,2,FALSE)),"",VLOOKUP(AH77,テーブル!I:J,2,FALSE)))</f>
        <v/>
      </c>
      <c r="CP77" s="373"/>
      <c r="CQ77" s="373" t="str">
        <f t="shared" ca="1" si="11"/>
        <v/>
      </c>
      <c r="CR77" s="373"/>
      <c r="CS77" s="373" t="str">
        <f t="shared" ca="1" si="12"/>
        <v/>
      </c>
      <c r="CT77" s="373"/>
      <c r="CU77" s="348">
        <f ca="1">所得換算!F104</f>
        <v>0</v>
      </c>
      <c r="CV77" s="348"/>
      <c r="CW77" s="348"/>
      <c r="CX77" s="348">
        <f ca="1">所得換算!F114</f>
        <v>0</v>
      </c>
      <c r="CY77" s="348"/>
      <c r="CZ77" s="349"/>
      <c r="DA77" s="483">
        <f t="shared" ca="1" si="40"/>
        <v>0</v>
      </c>
      <c r="DB77" s="484"/>
      <c r="DC77" s="484"/>
      <c r="DD77" s="491">
        <f t="shared" ca="1" si="41"/>
        <v>0</v>
      </c>
      <c r="DE77" s="491"/>
      <c r="DF77" s="491"/>
      <c r="DG77" s="481">
        <f t="shared" ca="1" si="42"/>
        <v>0</v>
      </c>
      <c r="DH77" s="481"/>
      <c r="DI77" s="482"/>
      <c r="DJ77" s="496">
        <f t="shared" ref="DJ77:DJ81" ca="1" si="79">IF(AW77="",0,IF(CK77=1,$BF$72/2,$BF$72))</f>
        <v>0</v>
      </c>
      <c r="DK77" s="484"/>
      <c r="DL77" s="484"/>
      <c r="DM77" s="491">
        <f t="shared" ref="DM77:DM81" ca="1" si="80">IF($AW77="",0,IF(CK77=1,$BI$72/2,$BI$72))</f>
        <v>0</v>
      </c>
      <c r="DN77" s="491"/>
      <c r="DO77" s="491"/>
      <c r="DP77" s="481">
        <f t="shared" ca="1" si="15"/>
        <v>0</v>
      </c>
      <c r="DQ77" s="481"/>
      <c r="DR77" s="482"/>
      <c r="DS77" s="459">
        <v>0</v>
      </c>
      <c r="DT77" s="403"/>
      <c r="DU77" s="403"/>
      <c r="DV77" s="404">
        <v>0</v>
      </c>
      <c r="DW77" s="404"/>
      <c r="DX77" s="404"/>
      <c r="DY77" s="405">
        <v>0</v>
      </c>
      <c r="DZ77" s="405"/>
      <c r="EA77" s="406"/>
      <c r="EB77" s="485">
        <f t="shared" ca="1" si="43"/>
        <v>0</v>
      </c>
      <c r="EC77" s="486"/>
      <c r="ED77" s="486"/>
      <c r="EE77" s="489">
        <f t="shared" ca="1" si="44"/>
        <v>0</v>
      </c>
      <c r="EF77" s="489"/>
      <c r="EG77" s="489"/>
      <c r="EH77" s="467">
        <f t="shared" ca="1" si="45"/>
        <v>0</v>
      </c>
      <c r="EI77" s="467"/>
      <c r="EJ77" s="468"/>
      <c r="EK77" s="464">
        <f t="shared" ca="1" si="46"/>
        <v>0</v>
      </c>
      <c r="EL77" s="403"/>
      <c r="EM77" s="403"/>
      <c r="EN77" s="460">
        <f t="shared" ca="1" si="18"/>
        <v>0</v>
      </c>
      <c r="EO77" s="404"/>
      <c r="EP77" s="404"/>
      <c r="EQ77" s="461">
        <f t="shared" ca="1" si="19"/>
        <v>0</v>
      </c>
      <c r="ER77" s="405"/>
      <c r="ES77" s="406"/>
      <c r="ET77" s="459">
        <f t="shared" ca="1" si="47"/>
        <v>0</v>
      </c>
      <c r="EU77" s="403"/>
      <c r="EV77" s="403"/>
      <c r="EW77" s="404">
        <f t="shared" ca="1" si="48"/>
        <v>0</v>
      </c>
      <c r="EX77" s="404"/>
      <c r="EY77" s="404"/>
      <c r="EZ77" s="405">
        <f t="shared" ca="1" si="20"/>
        <v>0</v>
      </c>
      <c r="FA77" s="405"/>
      <c r="FB77" s="406"/>
      <c r="FC77" s="402">
        <f t="shared" ca="1" si="21"/>
        <v>0</v>
      </c>
      <c r="FD77" s="403"/>
      <c r="FE77" s="403"/>
      <c r="FF77" s="404">
        <f t="shared" ca="1" si="22"/>
        <v>0</v>
      </c>
      <c r="FG77" s="404"/>
      <c r="FH77" s="404"/>
      <c r="FI77" s="405">
        <f t="shared" ca="1" si="23"/>
        <v>0</v>
      </c>
      <c r="FJ77" s="405"/>
      <c r="FK77" s="406"/>
      <c r="FL77" s="433">
        <f t="shared" ca="1" si="49"/>
        <v>0</v>
      </c>
      <c r="FM77" s="434"/>
      <c r="FN77" s="434"/>
      <c r="FO77" s="435">
        <f t="shared" ca="1" si="50"/>
        <v>0</v>
      </c>
      <c r="FP77" s="435"/>
      <c r="FQ77" s="435"/>
      <c r="FR77" s="436">
        <f t="shared" ca="1" si="51"/>
        <v>0</v>
      </c>
      <c r="FS77" s="436"/>
      <c r="FT77" s="437"/>
      <c r="FU77" s="428">
        <f t="shared" ca="1" si="52"/>
        <v>0</v>
      </c>
      <c r="FV77" s="429"/>
      <c r="FW77" s="429"/>
      <c r="FX77" s="352">
        <f t="shared" ca="1" si="53"/>
        <v>0</v>
      </c>
      <c r="FY77" s="352"/>
      <c r="FZ77" s="352"/>
      <c r="GA77" s="350">
        <f t="shared" ca="1" si="54"/>
        <v>0</v>
      </c>
      <c r="GB77" s="350"/>
      <c r="GC77" s="351"/>
      <c r="GE77" s="261" t="str">
        <f t="shared" ca="1" si="55"/>
        <v/>
      </c>
      <c r="GF77" s="255" t="str">
        <f t="shared" ca="1" si="56"/>
        <v/>
      </c>
      <c r="GG77" s="262" t="str">
        <f t="shared" ca="1" si="57"/>
        <v/>
      </c>
      <c r="GH77" s="260" t="str">
        <f ca="1">IF($GE77="","",IF(GH$74="","",IF($GG77=1,IF(($GE77)&lt;=GH$73,"",$GU77),IF($GG77=2,IF(($GF77)&lt;=GH$73,$GU77,""),$GU77))))</f>
        <v/>
      </c>
      <c r="GI77" s="260" t="str">
        <f t="shared" ca="1" si="25"/>
        <v/>
      </c>
      <c r="GJ77" s="260" t="str">
        <f t="shared" ca="1" si="25"/>
        <v/>
      </c>
      <c r="GK77" s="260" t="str">
        <f t="shared" ca="1" si="25"/>
        <v/>
      </c>
      <c r="GL77" s="260" t="str">
        <f t="shared" ca="1" si="25"/>
        <v/>
      </c>
      <c r="GM77" s="260" t="str">
        <f t="shared" ca="1" si="25"/>
        <v/>
      </c>
      <c r="GN77" s="260" t="str">
        <f t="shared" ca="1" si="25"/>
        <v/>
      </c>
      <c r="GO77" s="260" t="str">
        <f t="shared" ca="1" si="25"/>
        <v/>
      </c>
      <c r="GP77" s="260" t="str">
        <f t="shared" ca="1" si="25"/>
        <v/>
      </c>
      <c r="GQ77" s="260" t="str">
        <f t="shared" ca="1" si="25"/>
        <v/>
      </c>
      <c r="GR77" s="260" t="str">
        <f t="shared" ca="1" si="25"/>
        <v/>
      </c>
      <c r="GS77" s="260" t="str">
        <f t="shared" ca="1" si="25"/>
        <v/>
      </c>
      <c r="GT77" s="254">
        <f t="shared" ca="1" si="58"/>
        <v>0</v>
      </c>
      <c r="GU77" s="220" t="str">
        <f t="shared" ca="1" si="59"/>
        <v/>
      </c>
      <c r="GV77" s="258">
        <f t="shared" ca="1" si="60"/>
        <v>0</v>
      </c>
      <c r="GX77" s="261" t="str">
        <f t="shared" ca="1" si="61"/>
        <v/>
      </c>
      <c r="GY77" s="255" t="str">
        <f t="shared" ca="1" si="62"/>
        <v/>
      </c>
      <c r="GZ77" s="262" t="str">
        <f t="shared" ca="1" si="63"/>
        <v/>
      </c>
      <c r="HA77" s="260" t="str">
        <f t="shared" ca="1" si="64"/>
        <v/>
      </c>
      <c r="HB77" s="260" t="str">
        <f t="shared" ca="1" si="26"/>
        <v/>
      </c>
      <c r="HC77" s="260" t="str">
        <f t="shared" ca="1" si="26"/>
        <v/>
      </c>
      <c r="HD77" s="260" t="str">
        <f t="shared" ca="1" si="26"/>
        <v/>
      </c>
      <c r="HE77" s="260" t="str">
        <f t="shared" ca="1" si="26"/>
        <v/>
      </c>
      <c r="HF77" s="260" t="str">
        <f t="shared" ca="1" si="26"/>
        <v/>
      </c>
      <c r="HG77" s="260" t="str">
        <f t="shared" ca="1" si="26"/>
        <v/>
      </c>
      <c r="HH77" s="260" t="str">
        <f t="shared" ca="1" si="26"/>
        <v/>
      </c>
      <c r="HI77" s="260" t="str">
        <f t="shared" ca="1" si="26"/>
        <v/>
      </c>
      <c r="HJ77" s="260" t="str">
        <f t="shared" ca="1" si="26"/>
        <v/>
      </c>
      <c r="HK77" s="260" t="str">
        <f t="shared" ca="1" si="26"/>
        <v/>
      </c>
      <c r="HL77" s="260" t="str">
        <f t="shared" ca="1" si="26"/>
        <v/>
      </c>
      <c r="HM77" s="254">
        <f t="shared" ca="1" si="65"/>
        <v>0</v>
      </c>
      <c r="HN77" s="220" t="str">
        <f t="shared" ref="HN77:HN81" ca="1" si="81">IF(GX77="","",ROUNDUP(EN77/12,3)+ROUNDUP(EW77/12,3))</f>
        <v/>
      </c>
      <c r="HO77" s="258">
        <f t="shared" ca="1" si="66"/>
        <v>0</v>
      </c>
      <c r="HQ77" s="277" t="str">
        <f t="shared" ca="1" si="67"/>
        <v/>
      </c>
      <c r="HR77" s="278" t="str">
        <f t="shared" ca="1" si="68"/>
        <v/>
      </c>
      <c r="HS77" s="277" t="str">
        <f t="shared" ca="1" si="69"/>
        <v/>
      </c>
      <c r="HT77" s="293" t="str">
        <f t="shared" ca="1" si="70"/>
        <v/>
      </c>
      <c r="HU77" s="277" t="str">
        <f t="shared" ca="1" si="71"/>
        <v/>
      </c>
      <c r="HV77" s="296" t="str">
        <f t="shared" ca="1" si="72"/>
        <v/>
      </c>
      <c r="HW77" s="275" t="str">
        <f t="shared" ca="1" si="73"/>
        <v/>
      </c>
      <c r="HX77" s="275" t="str">
        <f t="shared" ca="1" si="27"/>
        <v/>
      </c>
      <c r="HY77" s="275" t="str">
        <f t="shared" ca="1" si="27"/>
        <v/>
      </c>
      <c r="HZ77" s="275" t="str">
        <f t="shared" ca="1" si="27"/>
        <v/>
      </c>
      <c r="IA77" s="275" t="str">
        <f t="shared" ca="1" si="27"/>
        <v/>
      </c>
      <c r="IB77" s="275" t="str">
        <f t="shared" ca="1" si="27"/>
        <v/>
      </c>
      <c r="IC77" s="275" t="str">
        <f t="shared" ca="1" si="27"/>
        <v/>
      </c>
      <c r="ID77" s="275" t="str">
        <f t="shared" ca="1" si="27"/>
        <v/>
      </c>
      <c r="IE77" s="275" t="str">
        <f t="shared" ca="1" si="27"/>
        <v/>
      </c>
      <c r="IF77" s="275" t="str">
        <f t="shared" ca="1" si="27"/>
        <v/>
      </c>
      <c r="IG77" s="275" t="str">
        <f t="shared" ca="1" si="27"/>
        <v/>
      </c>
      <c r="IH77" s="275" t="str">
        <f t="shared" ca="1" si="27"/>
        <v/>
      </c>
      <c r="II77" s="270">
        <f t="shared" ca="1" si="74"/>
        <v>0</v>
      </c>
      <c r="IJ77" s="276" t="str">
        <f t="shared" ca="1" si="75"/>
        <v/>
      </c>
      <c r="IK77" s="272">
        <f t="shared" ca="1" si="76"/>
        <v>0</v>
      </c>
    </row>
    <row r="78" spans="1:245" ht="36" customHeight="1">
      <c r="A78" s="228" t="str">
        <f t="shared" ca="1" si="77"/>
        <v/>
      </c>
      <c r="B78" s="584" t="s">
        <v>8</v>
      </c>
      <c r="C78" s="329"/>
      <c r="D78" s="329"/>
      <c r="E78" s="585"/>
      <c r="F78" s="500"/>
      <c r="G78" s="501"/>
      <c r="H78" s="502"/>
      <c r="I78" s="502"/>
      <c r="J78" s="502"/>
      <c r="K78" s="502"/>
      <c r="L78" s="502"/>
      <c r="M78" s="503"/>
      <c r="N78" s="510"/>
      <c r="O78" s="510"/>
      <c r="P78" s="510"/>
      <c r="Q78" s="510"/>
      <c r="R78" s="510"/>
      <c r="S78" s="509"/>
      <c r="T78" s="510"/>
      <c r="U78" s="510"/>
      <c r="V78" s="510"/>
      <c r="W78" s="511"/>
      <c r="X78" s="510"/>
      <c r="Y78" s="510"/>
      <c r="Z78" s="510"/>
      <c r="AA78" s="510"/>
      <c r="AB78" s="570"/>
      <c r="AC78" s="383"/>
      <c r="AD78" s="384"/>
      <c r="AE78" s="384"/>
      <c r="AF78" s="384"/>
      <c r="AG78" s="384"/>
      <c r="AH78" s="512"/>
      <c r="AI78" s="513"/>
      <c r="AJ78" s="513"/>
      <c r="AK78" s="513"/>
      <c r="AL78" s="514"/>
      <c r="AM78" s="161"/>
      <c r="AU78" s="210">
        <f ca="1">IF($O$62="",IF(ISERROR(DATEVALUE(VLOOKUP(F78,テーブル!$A$2:$B$4,2,FALSE)&amp;H78&amp;"."&amp;J78&amp;"."&amp;L78)),IF(F78="",0,1),IF(DATEVALUE(VLOOKUP(F78,テーブル!$A$2:$B$4,2,FALSE)&amp;H78&amp;"."&amp;J78&amp;"."&amp;L78)&gt;$BK$62,1,0)),1)</f>
        <v>0</v>
      </c>
      <c r="AV78" s="210">
        <f>IF(ISERROR(DATEVALUE(VLOOKUP(F78,テーブル!$A$2:$B$4,2,FALSE)&amp;H78&amp;"."&amp;J78&amp;"."&amp;L78)),IF(F78="",0,1),IF(ROUNDDOWN(YEARFRAC(DATEVALUE(VLOOKUP(F78,テーブル!$A$2:$B$4,2,FALSE)&amp;H78&amp;"."&amp;J78&amp;"."&amp;L78),$AZ$62,1),0)&gt;74,1,0))</f>
        <v>0</v>
      </c>
      <c r="AW78" s="387" t="str">
        <f ca="1">IF(OR(AU78=1,AV78=1),"",IF(ISERROR(DATEVALUE(VLOOKUP(F78,テーブル!$A$2:$B$4,2,FALSE)&amp;H78&amp;"."&amp;J78&amp;"."&amp;L78)),"",IF(DATEVALUE(VLOOKUP(F78,テーブル!$A$2:$B$4,2,FALSE)&amp;H78&amp;"."&amp;J78&amp;"."&amp;L78)&gt;$BK$62,"",DATEVALUE(VLOOKUP(F78,テーブル!$A$2:$B$4,2,FALSE)&amp;H78&amp;"."&amp;J78&amp;"."&amp;L78))))</f>
        <v/>
      </c>
      <c r="AX78" s="387"/>
      <c r="AY78" s="387"/>
      <c r="AZ78" s="373" t="str">
        <f t="shared" ca="1" si="28"/>
        <v/>
      </c>
      <c r="BA78" s="373"/>
      <c r="BB78" s="373" t="str">
        <f ca="1">IF(AW78="","",VLOOKUP(AZ78,テーブル!C:D,2,FALSE))</f>
        <v/>
      </c>
      <c r="BC78" s="373"/>
      <c r="BD78" s="387" t="str">
        <f t="shared" ca="1" si="29"/>
        <v/>
      </c>
      <c r="BE78" s="387"/>
      <c r="BF78" s="390" t="str">
        <f t="shared" ca="1" si="30"/>
        <v/>
      </c>
      <c r="BG78" s="390"/>
      <c r="BH78" s="387" t="str">
        <f t="shared" ca="1" si="31"/>
        <v/>
      </c>
      <c r="BI78" s="387"/>
      <c r="BJ78" s="390" t="str">
        <f t="shared" ca="1" si="32"/>
        <v/>
      </c>
      <c r="BK78" s="390"/>
      <c r="BL78" s="636" t="str">
        <f t="shared" ref="BL78:BL81" ca="1" si="82">IF(AZ78=74,DATE(YEAR(AW78)+75,MONTH(AW78),DAY(AW78)),IF(AZ78=0,IF(AW78&gt;$AZ$62,AW78,IF(AW78&gt;=$BN$62,AW78,"")),""))</f>
        <v/>
      </c>
      <c r="BM78" s="637"/>
      <c r="BN78" s="522" t="str">
        <f t="shared" ref="BN78:BN81" ca="1" si="83">IF(BL78="","",IF($BK$62&gt;=BL78-1,IF(AZ78=0,IF(BL78&gt;=$BN$62,2,1),1),""))</f>
        <v/>
      </c>
      <c r="BO78" s="524"/>
      <c r="BP78" s="525" t="str">
        <f t="shared" ca="1" si="33"/>
        <v/>
      </c>
      <c r="BQ78" s="526"/>
      <c r="BR78" s="527"/>
      <c r="BS78" s="525" t="str">
        <f t="shared" ca="1" si="34"/>
        <v/>
      </c>
      <c r="BT78" s="526"/>
      <c r="BU78" s="527"/>
      <c r="BV78" s="390">
        <f t="shared" ca="1" si="35"/>
        <v>0</v>
      </c>
      <c r="BW78" s="390"/>
      <c r="BX78" s="390"/>
      <c r="BY78" s="522">
        <f t="shared" ca="1" si="36"/>
        <v>0</v>
      </c>
      <c r="BZ78" s="523"/>
      <c r="CA78" s="524"/>
      <c r="CB78" s="348">
        <f t="shared" si="37"/>
        <v>0</v>
      </c>
      <c r="CC78" s="348"/>
      <c r="CD78" s="348"/>
      <c r="CE78" s="348">
        <f t="shared" si="38"/>
        <v>0</v>
      </c>
      <c r="CF78" s="348"/>
      <c r="CG78" s="348"/>
      <c r="CH78" s="348">
        <f t="shared" si="39"/>
        <v>0</v>
      </c>
      <c r="CI78" s="348"/>
      <c r="CJ78" s="348"/>
      <c r="CK78" s="373" t="str">
        <f t="shared" ca="1" si="78"/>
        <v/>
      </c>
      <c r="CL78" s="373"/>
      <c r="CM78" s="373" t="str">
        <f ca="1">IF(AW78="","",IF(ISERROR(VLOOKUP(AC78,テーブル!G:H,2,FALSE)),"",VLOOKUP(AC78,テーブル!G:H,2,FALSE)))</f>
        <v/>
      </c>
      <c r="CN78" s="373"/>
      <c r="CO78" s="373" t="str">
        <f ca="1">IF(AW78="","",IF(ISERROR(VLOOKUP(AH78,テーブル!I:J,2,FALSE)),"",VLOOKUP(AH78,テーブル!I:J,2,FALSE)))</f>
        <v/>
      </c>
      <c r="CP78" s="373"/>
      <c r="CQ78" s="373" t="str">
        <f t="shared" ca="1" si="11"/>
        <v/>
      </c>
      <c r="CR78" s="373"/>
      <c r="CS78" s="373" t="str">
        <f t="shared" ca="1" si="12"/>
        <v/>
      </c>
      <c r="CT78" s="373"/>
      <c r="CU78" s="348">
        <f ca="1">所得換算!F105</f>
        <v>0</v>
      </c>
      <c r="CV78" s="348"/>
      <c r="CW78" s="348"/>
      <c r="CX78" s="348">
        <f ca="1">所得換算!F115</f>
        <v>0</v>
      </c>
      <c r="CY78" s="348"/>
      <c r="CZ78" s="349"/>
      <c r="DA78" s="483">
        <f t="shared" ca="1" si="40"/>
        <v>0</v>
      </c>
      <c r="DB78" s="484"/>
      <c r="DC78" s="484"/>
      <c r="DD78" s="491">
        <f t="shared" ca="1" si="41"/>
        <v>0</v>
      </c>
      <c r="DE78" s="491"/>
      <c r="DF78" s="491"/>
      <c r="DG78" s="481">
        <f t="shared" ca="1" si="42"/>
        <v>0</v>
      </c>
      <c r="DH78" s="481"/>
      <c r="DI78" s="482"/>
      <c r="DJ78" s="496">
        <f t="shared" ca="1" si="79"/>
        <v>0</v>
      </c>
      <c r="DK78" s="484"/>
      <c r="DL78" s="484"/>
      <c r="DM78" s="491">
        <f t="shared" ca="1" si="80"/>
        <v>0</v>
      </c>
      <c r="DN78" s="491"/>
      <c r="DO78" s="491"/>
      <c r="DP78" s="481">
        <f t="shared" ca="1" si="15"/>
        <v>0</v>
      </c>
      <c r="DQ78" s="481"/>
      <c r="DR78" s="482"/>
      <c r="DS78" s="459">
        <v>0</v>
      </c>
      <c r="DT78" s="403"/>
      <c r="DU78" s="403"/>
      <c r="DV78" s="404">
        <v>0</v>
      </c>
      <c r="DW78" s="404"/>
      <c r="DX78" s="404"/>
      <c r="DY78" s="405">
        <v>0</v>
      </c>
      <c r="DZ78" s="405"/>
      <c r="EA78" s="406"/>
      <c r="EB78" s="485">
        <f t="shared" ca="1" si="43"/>
        <v>0</v>
      </c>
      <c r="EC78" s="486"/>
      <c r="ED78" s="486"/>
      <c r="EE78" s="489">
        <f t="shared" ca="1" si="44"/>
        <v>0</v>
      </c>
      <c r="EF78" s="489"/>
      <c r="EG78" s="489"/>
      <c r="EH78" s="467">
        <f t="shared" ca="1" si="45"/>
        <v>0</v>
      </c>
      <c r="EI78" s="467"/>
      <c r="EJ78" s="468"/>
      <c r="EK78" s="464">
        <f t="shared" ca="1" si="46"/>
        <v>0</v>
      </c>
      <c r="EL78" s="403"/>
      <c r="EM78" s="403"/>
      <c r="EN78" s="460">
        <f t="shared" ca="1" si="18"/>
        <v>0</v>
      </c>
      <c r="EO78" s="404"/>
      <c r="EP78" s="404"/>
      <c r="EQ78" s="461">
        <f t="shared" ca="1" si="19"/>
        <v>0</v>
      </c>
      <c r="ER78" s="405"/>
      <c r="ES78" s="406"/>
      <c r="ET78" s="459">
        <f t="shared" ca="1" si="47"/>
        <v>0</v>
      </c>
      <c r="EU78" s="403"/>
      <c r="EV78" s="403"/>
      <c r="EW78" s="404">
        <f t="shared" ca="1" si="48"/>
        <v>0</v>
      </c>
      <c r="EX78" s="404"/>
      <c r="EY78" s="404"/>
      <c r="EZ78" s="405">
        <f t="shared" ca="1" si="20"/>
        <v>0</v>
      </c>
      <c r="FA78" s="405"/>
      <c r="FB78" s="406"/>
      <c r="FC78" s="402">
        <f t="shared" ca="1" si="21"/>
        <v>0</v>
      </c>
      <c r="FD78" s="403"/>
      <c r="FE78" s="403"/>
      <c r="FF78" s="404">
        <f t="shared" ca="1" si="22"/>
        <v>0</v>
      </c>
      <c r="FG78" s="404"/>
      <c r="FH78" s="404"/>
      <c r="FI78" s="405">
        <f t="shared" ca="1" si="23"/>
        <v>0</v>
      </c>
      <c r="FJ78" s="405"/>
      <c r="FK78" s="406"/>
      <c r="FL78" s="433">
        <f t="shared" ca="1" si="49"/>
        <v>0</v>
      </c>
      <c r="FM78" s="434"/>
      <c r="FN78" s="434"/>
      <c r="FO78" s="435">
        <f t="shared" ca="1" si="50"/>
        <v>0</v>
      </c>
      <c r="FP78" s="435"/>
      <c r="FQ78" s="435"/>
      <c r="FR78" s="436">
        <f t="shared" ca="1" si="51"/>
        <v>0</v>
      </c>
      <c r="FS78" s="436"/>
      <c r="FT78" s="437"/>
      <c r="FU78" s="428">
        <f t="shared" ca="1" si="52"/>
        <v>0</v>
      </c>
      <c r="FV78" s="429"/>
      <c r="FW78" s="429"/>
      <c r="FX78" s="352">
        <f t="shared" ca="1" si="53"/>
        <v>0</v>
      </c>
      <c r="FY78" s="352"/>
      <c r="FZ78" s="352"/>
      <c r="GA78" s="350">
        <f t="shared" ca="1" si="54"/>
        <v>0</v>
      </c>
      <c r="GB78" s="350"/>
      <c r="GC78" s="351"/>
      <c r="GE78" s="261" t="str">
        <f t="shared" ca="1" si="55"/>
        <v/>
      </c>
      <c r="GF78" s="255" t="str">
        <f t="shared" ca="1" si="56"/>
        <v/>
      </c>
      <c r="GG78" s="262" t="str">
        <f t="shared" ca="1" si="57"/>
        <v/>
      </c>
      <c r="GH78" s="260" t="str">
        <f t="shared" ca="1" si="24"/>
        <v/>
      </c>
      <c r="GI78" s="260" t="str">
        <f t="shared" ca="1" si="25"/>
        <v/>
      </c>
      <c r="GJ78" s="260" t="str">
        <f t="shared" ca="1" si="25"/>
        <v/>
      </c>
      <c r="GK78" s="260" t="str">
        <f t="shared" ca="1" si="25"/>
        <v/>
      </c>
      <c r="GL78" s="260" t="str">
        <f t="shared" ca="1" si="25"/>
        <v/>
      </c>
      <c r="GM78" s="260" t="str">
        <f t="shared" ca="1" si="25"/>
        <v/>
      </c>
      <c r="GN78" s="260" t="str">
        <f t="shared" ca="1" si="25"/>
        <v/>
      </c>
      <c r="GO78" s="260" t="str">
        <f t="shared" ca="1" si="25"/>
        <v/>
      </c>
      <c r="GP78" s="260" t="str">
        <f t="shared" ca="1" si="25"/>
        <v/>
      </c>
      <c r="GQ78" s="260" t="str">
        <f t="shared" ca="1" si="25"/>
        <v/>
      </c>
      <c r="GR78" s="260" t="str">
        <f t="shared" ca="1" si="25"/>
        <v/>
      </c>
      <c r="GS78" s="260" t="str">
        <f t="shared" ca="1" si="25"/>
        <v/>
      </c>
      <c r="GT78" s="254">
        <f t="shared" ca="1" si="58"/>
        <v>0</v>
      </c>
      <c r="GU78" s="220" t="str">
        <f t="shared" ca="1" si="59"/>
        <v/>
      </c>
      <c r="GV78" s="258">
        <f t="shared" ca="1" si="60"/>
        <v>0</v>
      </c>
      <c r="GX78" s="261" t="str">
        <f t="shared" ca="1" si="61"/>
        <v/>
      </c>
      <c r="GY78" s="255" t="str">
        <f t="shared" ca="1" si="62"/>
        <v/>
      </c>
      <c r="GZ78" s="262" t="str">
        <f t="shared" ca="1" si="63"/>
        <v/>
      </c>
      <c r="HA78" s="260" t="str">
        <f t="shared" ca="1" si="64"/>
        <v/>
      </c>
      <c r="HB78" s="260" t="str">
        <f t="shared" ca="1" si="26"/>
        <v/>
      </c>
      <c r="HC78" s="260" t="str">
        <f t="shared" ca="1" si="26"/>
        <v/>
      </c>
      <c r="HD78" s="260" t="str">
        <f t="shared" ca="1" si="26"/>
        <v/>
      </c>
      <c r="HE78" s="260" t="str">
        <f t="shared" ca="1" si="26"/>
        <v/>
      </c>
      <c r="HF78" s="260" t="str">
        <f t="shared" ca="1" si="26"/>
        <v/>
      </c>
      <c r="HG78" s="260" t="str">
        <f t="shared" ca="1" si="26"/>
        <v/>
      </c>
      <c r="HH78" s="260" t="str">
        <f t="shared" ca="1" si="26"/>
        <v/>
      </c>
      <c r="HI78" s="260" t="str">
        <f t="shared" ca="1" si="26"/>
        <v/>
      </c>
      <c r="HJ78" s="260" t="str">
        <f t="shared" ca="1" si="26"/>
        <v/>
      </c>
      <c r="HK78" s="260" t="str">
        <f t="shared" ca="1" si="26"/>
        <v/>
      </c>
      <c r="HL78" s="260" t="str">
        <f t="shared" ca="1" si="26"/>
        <v/>
      </c>
      <c r="HM78" s="254">
        <f t="shared" ca="1" si="65"/>
        <v>0</v>
      </c>
      <c r="HN78" s="220" t="str">
        <f t="shared" ca="1" si="81"/>
        <v/>
      </c>
      <c r="HO78" s="258">
        <f t="shared" ca="1" si="66"/>
        <v>0</v>
      </c>
      <c r="HQ78" s="277" t="str">
        <f t="shared" ca="1" si="67"/>
        <v/>
      </c>
      <c r="HR78" s="278" t="str">
        <f t="shared" ca="1" si="68"/>
        <v/>
      </c>
      <c r="HS78" s="277" t="str">
        <f t="shared" ca="1" si="69"/>
        <v/>
      </c>
      <c r="HT78" s="293" t="str">
        <f t="shared" ca="1" si="70"/>
        <v/>
      </c>
      <c r="HU78" s="277" t="str">
        <f t="shared" ca="1" si="71"/>
        <v/>
      </c>
      <c r="HV78" s="296" t="str">
        <f t="shared" ca="1" si="72"/>
        <v/>
      </c>
      <c r="HW78" s="275" t="str">
        <f t="shared" ca="1" si="73"/>
        <v/>
      </c>
      <c r="HX78" s="275" t="str">
        <f t="shared" ca="1" si="27"/>
        <v/>
      </c>
      <c r="HY78" s="275" t="str">
        <f t="shared" ca="1" si="27"/>
        <v/>
      </c>
      <c r="HZ78" s="275" t="str">
        <f t="shared" ca="1" si="27"/>
        <v/>
      </c>
      <c r="IA78" s="275" t="str">
        <f t="shared" ca="1" si="27"/>
        <v/>
      </c>
      <c r="IB78" s="275" t="str">
        <f t="shared" ca="1" si="27"/>
        <v/>
      </c>
      <c r="IC78" s="275" t="str">
        <f t="shared" ca="1" si="27"/>
        <v/>
      </c>
      <c r="ID78" s="275" t="str">
        <f t="shared" ca="1" si="27"/>
        <v/>
      </c>
      <c r="IE78" s="275" t="str">
        <f t="shared" ca="1" si="27"/>
        <v/>
      </c>
      <c r="IF78" s="275" t="str">
        <f t="shared" ca="1" si="27"/>
        <v/>
      </c>
      <c r="IG78" s="275" t="str">
        <f t="shared" ca="1" si="27"/>
        <v/>
      </c>
      <c r="IH78" s="275" t="str">
        <f t="shared" ca="1" si="27"/>
        <v/>
      </c>
      <c r="II78" s="270">
        <f t="shared" ca="1" si="74"/>
        <v>0</v>
      </c>
      <c r="IJ78" s="276" t="str">
        <f t="shared" ca="1" si="75"/>
        <v/>
      </c>
      <c r="IK78" s="272">
        <f t="shared" ca="1" si="76"/>
        <v>0</v>
      </c>
    </row>
    <row r="79" spans="1:245" ht="36" customHeight="1">
      <c r="A79" s="228" t="str">
        <f t="shared" ca="1" si="77"/>
        <v/>
      </c>
      <c r="B79" s="584" t="s">
        <v>9</v>
      </c>
      <c r="C79" s="329"/>
      <c r="D79" s="329"/>
      <c r="E79" s="585"/>
      <c r="F79" s="500"/>
      <c r="G79" s="501"/>
      <c r="H79" s="502"/>
      <c r="I79" s="502"/>
      <c r="J79" s="502"/>
      <c r="K79" s="502"/>
      <c r="L79" s="502"/>
      <c r="M79" s="503"/>
      <c r="N79" s="510"/>
      <c r="O79" s="510"/>
      <c r="P79" s="510"/>
      <c r="Q79" s="510"/>
      <c r="R79" s="510"/>
      <c r="S79" s="509"/>
      <c r="T79" s="510"/>
      <c r="U79" s="510"/>
      <c r="V79" s="510"/>
      <c r="W79" s="511"/>
      <c r="X79" s="510"/>
      <c r="Y79" s="510"/>
      <c r="Z79" s="510"/>
      <c r="AA79" s="510"/>
      <c r="AB79" s="570"/>
      <c r="AC79" s="383"/>
      <c r="AD79" s="384"/>
      <c r="AE79" s="384"/>
      <c r="AF79" s="384"/>
      <c r="AG79" s="384"/>
      <c r="AH79" s="512"/>
      <c r="AI79" s="513"/>
      <c r="AJ79" s="513"/>
      <c r="AK79" s="513"/>
      <c r="AL79" s="514"/>
      <c r="AM79" s="161"/>
      <c r="AO79" s="243"/>
      <c r="AU79" s="210">
        <f ca="1">IF($O$62="",IF(ISERROR(DATEVALUE(VLOOKUP(F79,テーブル!$A$2:$B$4,2,FALSE)&amp;H79&amp;"."&amp;J79&amp;"."&amp;L79)),IF(F79="",0,1),IF(DATEVALUE(VLOOKUP(F79,テーブル!$A$2:$B$4,2,FALSE)&amp;H79&amp;"."&amp;J79&amp;"."&amp;L79)&gt;$BK$62,1,0)),1)</f>
        <v>0</v>
      </c>
      <c r="AV79" s="210">
        <f>IF(ISERROR(DATEVALUE(VLOOKUP(F79,テーブル!$A$2:$B$4,2,FALSE)&amp;H79&amp;"."&amp;J79&amp;"."&amp;L79)),IF(F79="",0,1),IF(ROUNDDOWN(YEARFRAC(DATEVALUE(VLOOKUP(F79,テーブル!$A$2:$B$4,2,FALSE)&amp;H79&amp;"."&amp;J79&amp;"."&amp;L79),$AZ$62,1),0)&gt;74,1,0))</f>
        <v>0</v>
      </c>
      <c r="AW79" s="387" t="str">
        <f ca="1">IF(OR(AU79=1,AV79=1),"",IF(ISERROR(DATEVALUE(VLOOKUP(F79,テーブル!$A$2:$B$4,2,FALSE)&amp;H79&amp;"."&amp;J79&amp;"."&amp;L79)),"",IF(DATEVALUE(VLOOKUP(F79,テーブル!$A$2:$B$4,2,FALSE)&amp;H79&amp;"."&amp;J79&amp;"."&amp;L79)&gt;$BK$62,"",DATEVALUE(VLOOKUP(F79,テーブル!$A$2:$B$4,2,FALSE)&amp;H79&amp;"."&amp;J79&amp;"."&amp;L79))))</f>
        <v/>
      </c>
      <c r="AX79" s="387"/>
      <c r="AY79" s="387"/>
      <c r="AZ79" s="373" t="str">
        <f t="shared" ca="1" si="28"/>
        <v/>
      </c>
      <c r="BA79" s="373"/>
      <c r="BB79" s="373" t="str">
        <f ca="1">IF(AW79="","",VLOOKUP(AZ79,テーブル!C:D,2,FALSE))</f>
        <v/>
      </c>
      <c r="BC79" s="373"/>
      <c r="BD79" s="387" t="str">
        <f t="shared" ca="1" si="29"/>
        <v/>
      </c>
      <c r="BE79" s="387"/>
      <c r="BF79" s="390" t="str">
        <f t="shared" ca="1" si="30"/>
        <v/>
      </c>
      <c r="BG79" s="390"/>
      <c r="BH79" s="387" t="str">
        <f t="shared" ca="1" si="31"/>
        <v/>
      </c>
      <c r="BI79" s="387"/>
      <c r="BJ79" s="390" t="str">
        <f t="shared" ca="1" si="32"/>
        <v/>
      </c>
      <c r="BK79" s="390"/>
      <c r="BL79" s="636" t="str">
        <f t="shared" ca="1" si="82"/>
        <v/>
      </c>
      <c r="BM79" s="637"/>
      <c r="BN79" s="522" t="str">
        <f t="shared" ca="1" si="83"/>
        <v/>
      </c>
      <c r="BO79" s="524"/>
      <c r="BP79" s="525" t="str">
        <f t="shared" ca="1" si="33"/>
        <v/>
      </c>
      <c r="BQ79" s="526"/>
      <c r="BR79" s="527"/>
      <c r="BS79" s="525" t="str">
        <f t="shared" ca="1" si="34"/>
        <v/>
      </c>
      <c r="BT79" s="526"/>
      <c r="BU79" s="527"/>
      <c r="BV79" s="390">
        <f t="shared" ca="1" si="35"/>
        <v>0</v>
      </c>
      <c r="BW79" s="390"/>
      <c r="BX79" s="390"/>
      <c r="BY79" s="522">
        <f t="shared" ca="1" si="36"/>
        <v>0</v>
      </c>
      <c r="BZ79" s="523"/>
      <c r="CA79" s="524"/>
      <c r="CB79" s="348">
        <f t="shared" si="37"/>
        <v>0</v>
      </c>
      <c r="CC79" s="348"/>
      <c r="CD79" s="348"/>
      <c r="CE79" s="348">
        <f t="shared" si="38"/>
        <v>0</v>
      </c>
      <c r="CF79" s="348"/>
      <c r="CG79" s="348"/>
      <c r="CH79" s="348">
        <f t="shared" si="39"/>
        <v>0</v>
      </c>
      <c r="CI79" s="348"/>
      <c r="CJ79" s="348"/>
      <c r="CK79" s="373" t="str">
        <f t="shared" ca="1" si="78"/>
        <v/>
      </c>
      <c r="CL79" s="373"/>
      <c r="CM79" s="373" t="str">
        <f ca="1">IF(AW79="","",IF(ISERROR(VLOOKUP(AC79,テーブル!G:H,2,FALSE)),"",VLOOKUP(AC79,テーブル!G:H,2,FALSE)))</f>
        <v/>
      </c>
      <c r="CN79" s="373"/>
      <c r="CO79" s="373" t="str">
        <f ca="1">IF(AW79="","",IF(ISERROR(VLOOKUP(AH79,テーブル!I:J,2,FALSE)),"",VLOOKUP(AH79,テーブル!I:J,2,FALSE)))</f>
        <v/>
      </c>
      <c r="CP79" s="373"/>
      <c r="CQ79" s="373" t="str">
        <f t="shared" ca="1" si="11"/>
        <v/>
      </c>
      <c r="CR79" s="373"/>
      <c r="CS79" s="373" t="str">
        <f t="shared" ca="1" si="12"/>
        <v/>
      </c>
      <c r="CT79" s="373"/>
      <c r="CU79" s="348">
        <f ca="1">所得換算!F106</f>
        <v>0</v>
      </c>
      <c r="CV79" s="348"/>
      <c r="CW79" s="348"/>
      <c r="CX79" s="348">
        <f ca="1">所得換算!F116</f>
        <v>0</v>
      </c>
      <c r="CY79" s="348"/>
      <c r="CZ79" s="349"/>
      <c r="DA79" s="483">
        <f t="shared" ca="1" si="40"/>
        <v>0</v>
      </c>
      <c r="DB79" s="484"/>
      <c r="DC79" s="484"/>
      <c r="DD79" s="491">
        <f t="shared" ca="1" si="41"/>
        <v>0</v>
      </c>
      <c r="DE79" s="491"/>
      <c r="DF79" s="491"/>
      <c r="DG79" s="481">
        <f t="shared" ca="1" si="42"/>
        <v>0</v>
      </c>
      <c r="DH79" s="481"/>
      <c r="DI79" s="482"/>
      <c r="DJ79" s="496">
        <f t="shared" ca="1" si="79"/>
        <v>0</v>
      </c>
      <c r="DK79" s="484"/>
      <c r="DL79" s="484"/>
      <c r="DM79" s="491">
        <f t="shared" ca="1" si="80"/>
        <v>0</v>
      </c>
      <c r="DN79" s="491"/>
      <c r="DO79" s="491"/>
      <c r="DP79" s="481">
        <f t="shared" ca="1" si="15"/>
        <v>0</v>
      </c>
      <c r="DQ79" s="481"/>
      <c r="DR79" s="482"/>
      <c r="DS79" s="459">
        <v>0</v>
      </c>
      <c r="DT79" s="403"/>
      <c r="DU79" s="403"/>
      <c r="DV79" s="404">
        <v>0</v>
      </c>
      <c r="DW79" s="404"/>
      <c r="DX79" s="404"/>
      <c r="DY79" s="405">
        <v>0</v>
      </c>
      <c r="DZ79" s="405"/>
      <c r="EA79" s="406"/>
      <c r="EB79" s="485">
        <f t="shared" ca="1" si="43"/>
        <v>0</v>
      </c>
      <c r="EC79" s="486"/>
      <c r="ED79" s="486"/>
      <c r="EE79" s="489">
        <f t="shared" ca="1" si="44"/>
        <v>0</v>
      </c>
      <c r="EF79" s="489"/>
      <c r="EG79" s="489"/>
      <c r="EH79" s="467">
        <f t="shared" ca="1" si="45"/>
        <v>0</v>
      </c>
      <c r="EI79" s="467"/>
      <c r="EJ79" s="468"/>
      <c r="EK79" s="464">
        <f t="shared" ca="1" si="46"/>
        <v>0</v>
      </c>
      <c r="EL79" s="403"/>
      <c r="EM79" s="403"/>
      <c r="EN79" s="460">
        <f t="shared" ca="1" si="18"/>
        <v>0</v>
      </c>
      <c r="EO79" s="404"/>
      <c r="EP79" s="404"/>
      <c r="EQ79" s="461">
        <f t="shared" ca="1" si="19"/>
        <v>0</v>
      </c>
      <c r="ER79" s="405"/>
      <c r="ES79" s="406"/>
      <c r="ET79" s="459">
        <f t="shared" ca="1" si="47"/>
        <v>0</v>
      </c>
      <c r="EU79" s="403"/>
      <c r="EV79" s="403"/>
      <c r="EW79" s="404">
        <f t="shared" ca="1" si="48"/>
        <v>0</v>
      </c>
      <c r="EX79" s="404"/>
      <c r="EY79" s="404"/>
      <c r="EZ79" s="405">
        <f t="shared" ca="1" si="20"/>
        <v>0</v>
      </c>
      <c r="FA79" s="405"/>
      <c r="FB79" s="406"/>
      <c r="FC79" s="402">
        <f t="shared" ca="1" si="21"/>
        <v>0</v>
      </c>
      <c r="FD79" s="403"/>
      <c r="FE79" s="403"/>
      <c r="FF79" s="404">
        <f t="shared" ca="1" si="22"/>
        <v>0</v>
      </c>
      <c r="FG79" s="404"/>
      <c r="FH79" s="404"/>
      <c r="FI79" s="405">
        <f t="shared" ca="1" si="23"/>
        <v>0</v>
      </c>
      <c r="FJ79" s="405"/>
      <c r="FK79" s="406"/>
      <c r="FL79" s="433">
        <f t="shared" ca="1" si="49"/>
        <v>0</v>
      </c>
      <c r="FM79" s="434"/>
      <c r="FN79" s="434"/>
      <c r="FO79" s="435">
        <f t="shared" ca="1" si="50"/>
        <v>0</v>
      </c>
      <c r="FP79" s="435"/>
      <c r="FQ79" s="435"/>
      <c r="FR79" s="436">
        <f t="shared" ca="1" si="51"/>
        <v>0</v>
      </c>
      <c r="FS79" s="436"/>
      <c r="FT79" s="437"/>
      <c r="FU79" s="428">
        <f t="shared" ca="1" si="52"/>
        <v>0</v>
      </c>
      <c r="FV79" s="429"/>
      <c r="FW79" s="429"/>
      <c r="FX79" s="352">
        <f t="shared" ca="1" si="53"/>
        <v>0</v>
      </c>
      <c r="FY79" s="352"/>
      <c r="FZ79" s="352"/>
      <c r="GA79" s="350">
        <f t="shared" ca="1" si="54"/>
        <v>0</v>
      </c>
      <c r="GB79" s="350"/>
      <c r="GC79" s="351"/>
      <c r="GE79" s="261" t="str">
        <f t="shared" ca="1" si="55"/>
        <v/>
      </c>
      <c r="GF79" s="255" t="str">
        <f t="shared" ca="1" si="56"/>
        <v/>
      </c>
      <c r="GG79" s="262" t="str">
        <f t="shared" ca="1" si="57"/>
        <v/>
      </c>
      <c r="GH79" s="260" t="str">
        <f t="shared" ca="1" si="24"/>
        <v/>
      </c>
      <c r="GI79" s="260" t="str">
        <f t="shared" ca="1" si="25"/>
        <v/>
      </c>
      <c r="GJ79" s="260" t="str">
        <f t="shared" ca="1" si="25"/>
        <v/>
      </c>
      <c r="GK79" s="260" t="str">
        <f t="shared" ca="1" si="25"/>
        <v/>
      </c>
      <c r="GL79" s="260" t="str">
        <f t="shared" ca="1" si="25"/>
        <v/>
      </c>
      <c r="GM79" s="260" t="str">
        <f t="shared" ca="1" si="25"/>
        <v/>
      </c>
      <c r="GN79" s="260" t="str">
        <f t="shared" ca="1" si="25"/>
        <v/>
      </c>
      <c r="GO79" s="260" t="str">
        <f t="shared" ca="1" si="25"/>
        <v/>
      </c>
      <c r="GP79" s="260" t="str">
        <f t="shared" ca="1" si="25"/>
        <v/>
      </c>
      <c r="GQ79" s="260" t="str">
        <f t="shared" ca="1" si="25"/>
        <v/>
      </c>
      <c r="GR79" s="260" t="str">
        <f t="shared" ca="1" si="25"/>
        <v/>
      </c>
      <c r="GS79" s="260" t="str">
        <f t="shared" ca="1" si="25"/>
        <v/>
      </c>
      <c r="GT79" s="254">
        <f t="shared" ca="1" si="58"/>
        <v>0</v>
      </c>
      <c r="GU79" s="220" t="str">
        <f t="shared" ca="1" si="59"/>
        <v/>
      </c>
      <c r="GV79" s="258">
        <f t="shared" ca="1" si="60"/>
        <v>0</v>
      </c>
      <c r="GX79" s="261" t="str">
        <f t="shared" ca="1" si="61"/>
        <v/>
      </c>
      <c r="GY79" s="255" t="str">
        <f t="shared" ca="1" si="62"/>
        <v/>
      </c>
      <c r="GZ79" s="262" t="str">
        <f t="shared" ca="1" si="63"/>
        <v/>
      </c>
      <c r="HA79" s="260" t="str">
        <f t="shared" ca="1" si="64"/>
        <v/>
      </c>
      <c r="HB79" s="260" t="str">
        <f t="shared" ca="1" si="26"/>
        <v/>
      </c>
      <c r="HC79" s="260" t="str">
        <f t="shared" ca="1" si="26"/>
        <v/>
      </c>
      <c r="HD79" s="260" t="str">
        <f t="shared" ca="1" si="26"/>
        <v/>
      </c>
      <c r="HE79" s="260" t="str">
        <f t="shared" ca="1" si="26"/>
        <v/>
      </c>
      <c r="HF79" s="260" t="str">
        <f t="shared" ca="1" si="26"/>
        <v/>
      </c>
      <c r="HG79" s="260" t="str">
        <f t="shared" ca="1" si="26"/>
        <v/>
      </c>
      <c r="HH79" s="260" t="str">
        <f t="shared" ca="1" si="26"/>
        <v/>
      </c>
      <c r="HI79" s="260" t="str">
        <f t="shared" ca="1" si="26"/>
        <v/>
      </c>
      <c r="HJ79" s="260" t="str">
        <f t="shared" ca="1" si="26"/>
        <v/>
      </c>
      <c r="HK79" s="260" t="str">
        <f t="shared" ca="1" si="26"/>
        <v/>
      </c>
      <c r="HL79" s="260" t="str">
        <f t="shared" ca="1" si="26"/>
        <v/>
      </c>
      <c r="HM79" s="254">
        <f t="shared" ca="1" si="65"/>
        <v>0</v>
      </c>
      <c r="HN79" s="220" t="str">
        <f t="shared" ca="1" si="81"/>
        <v/>
      </c>
      <c r="HO79" s="258">
        <f t="shared" ca="1" si="66"/>
        <v>0</v>
      </c>
      <c r="HQ79" s="277" t="str">
        <f t="shared" ca="1" si="67"/>
        <v/>
      </c>
      <c r="HR79" s="278" t="str">
        <f t="shared" ca="1" si="68"/>
        <v/>
      </c>
      <c r="HS79" s="277" t="str">
        <f t="shared" ca="1" si="69"/>
        <v/>
      </c>
      <c r="HT79" s="293" t="str">
        <f t="shared" ca="1" si="70"/>
        <v/>
      </c>
      <c r="HU79" s="277" t="str">
        <f t="shared" ca="1" si="71"/>
        <v/>
      </c>
      <c r="HV79" s="296" t="str">
        <f t="shared" ca="1" si="72"/>
        <v/>
      </c>
      <c r="HW79" s="275" t="str">
        <f t="shared" ca="1" si="73"/>
        <v/>
      </c>
      <c r="HX79" s="275" t="str">
        <f t="shared" ca="1" si="27"/>
        <v/>
      </c>
      <c r="HY79" s="275" t="str">
        <f t="shared" ca="1" si="27"/>
        <v/>
      </c>
      <c r="HZ79" s="275" t="str">
        <f t="shared" ca="1" si="27"/>
        <v/>
      </c>
      <c r="IA79" s="275" t="str">
        <f t="shared" ca="1" si="27"/>
        <v/>
      </c>
      <c r="IB79" s="275" t="str">
        <f t="shared" ca="1" si="27"/>
        <v/>
      </c>
      <c r="IC79" s="275" t="str">
        <f t="shared" ca="1" si="27"/>
        <v/>
      </c>
      <c r="ID79" s="275" t="str">
        <f t="shared" ca="1" si="27"/>
        <v/>
      </c>
      <c r="IE79" s="275" t="str">
        <f t="shared" ca="1" si="27"/>
        <v/>
      </c>
      <c r="IF79" s="275" t="str">
        <f t="shared" ca="1" si="27"/>
        <v/>
      </c>
      <c r="IG79" s="275" t="str">
        <f t="shared" ca="1" si="27"/>
        <v/>
      </c>
      <c r="IH79" s="275" t="str">
        <f t="shared" ca="1" si="27"/>
        <v/>
      </c>
      <c r="II79" s="270">
        <f t="shared" ca="1" si="74"/>
        <v>0</v>
      </c>
      <c r="IJ79" s="276" t="str">
        <f t="shared" ca="1" si="75"/>
        <v/>
      </c>
      <c r="IK79" s="272">
        <f t="shared" ca="1" si="76"/>
        <v>0</v>
      </c>
    </row>
    <row r="80" spans="1:245" ht="36" customHeight="1">
      <c r="A80" s="228" t="str">
        <f t="shared" ca="1" si="77"/>
        <v/>
      </c>
      <c r="B80" s="584" t="s">
        <v>10</v>
      </c>
      <c r="C80" s="329"/>
      <c r="D80" s="329"/>
      <c r="E80" s="585"/>
      <c r="F80" s="500"/>
      <c r="G80" s="501"/>
      <c r="H80" s="502"/>
      <c r="I80" s="502"/>
      <c r="J80" s="502"/>
      <c r="K80" s="502"/>
      <c r="L80" s="502"/>
      <c r="M80" s="503"/>
      <c r="N80" s="510"/>
      <c r="O80" s="510"/>
      <c r="P80" s="510"/>
      <c r="Q80" s="510"/>
      <c r="R80" s="510"/>
      <c r="S80" s="509"/>
      <c r="T80" s="510"/>
      <c r="U80" s="510"/>
      <c r="V80" s="510"/>
      <c r="W80" s="511"/>
      <c r="X80" s="510"/>
      <c r="Y80" s="510"/>
      <c r="Z80" s="510"/>
      <c r="AA80" s="510"/>
      <c r="AB80" s="570"/>
      <c r="AC80" s="383"/>
      <c r="AD80" s="384"/>
      <c r="AE80" s="384"/>
      <c r="AF80" s="384"/>
      <c r="AG80" s="384"/>
      <c r="AH80" s="512"/>
      <c r="AI80" s="513"/>
      <c r="AJ80" s="513"/>
      <c r="AK80" s="513"/>
      <c r="AL80" s="514"/>
      <c r="AM80" s="161"/>
      <c r="AU80" s="210">
        <f ca="1">IF($O$62="",IF(ISERROR(DATEVALUE(VLOOKUP(F80,テーブル!$A$2:$B$4,2,FALSE)&amp;H80&amp;"."&amp;J80&amp;"."&amp;L80)),IF(F80="",0,1),IF(DATEVALUE(VLOOKUP(F80,テーブル!$A$2:$B$4,2,FALSE)&amp;H80&amp;"."&amp;J80&amp;"."&amp;L80)&gt;$BK$62,1,0)),1)</f>
        <v>0</v>
      </c>
      <c r="AV80" s="210">
        <f>IF(ISERROR(DATEVALUE(VLOOKUP(F80,テーブル!$A$2:$B$4,2,FALSE)&amp;H80&amp;"."&amp;J80&amp;"."&amp;L80)),IF(F80="",0,1),IF(ROUNDDOWN(YEARFRAC(DATEVALUE(VLOOKUP(F80,テーブル!$A$2:$B$4,2,FALSE)&amp;H80&amp;"."&amp;J80&amp;"."&amp;L80),$AZ$62,1),0)&gt;74,1,0))</f>
        <v>0</v>
      </c>
      <c r="AW80" s="387" t="str">
        <f ca="1">IF(OR(AU80=1,AV80=1),"",IF(ISERROR(DATEVALUE(VLOOKUP(F80,テーブル!$A$2:$B$4,2,FALSE)&amp;H80&amp;"."&amp;J80&amp;"."&amp;L80)),"",IF(DATEVALUE(VLOOKUP(F80,テーブル!$A$2:$B$4,2,FALSE)&amp;H80&amp;"."&amp;J80&amp;"."&amp;L80)&gt;$BK$62,"",DATEVALUE(VLOOKUP(F80,テーブル!$A$2:$B$4,2,FALSE)&amp;H80&amp;"."&amp;J80&amp;"."&amp;L80))))</f>
        <v/>
      </c>
      <c r="AX80" s="387"/>
      <c r="AY80" s="387"/>
      <c r="AZ80" s="373" t="str">
        <f t="shared" ca="1" si="28"/>
        <v/>
      </c>
      <c r="BA80" s="373"/>
      <c r="BB80" s="373" t="str">
        <f ca="1">IF(AW80="","",VLOOKUP(AZ80,テーブル!C:D,2,FALSE))</f>
        <v/>
      </c>
      <c r="BC80" s="373"/>
      <c r="BD80" s="387" t="str">
        <f t="shared" ca="1" si="29"/>
        <v/>
      </c>
      <c r="BE80" s="387"/>
      <c r="BF80" s="390" t="str">
        <f t="shared" ca="1" si="30"/>
        <v/>
      </c>
      <c r="BG80" s="390"/>
      <c r="BH80" s="387" t="str">
        <f t="shared" ca="1" si="31"/>
        <v/>
      </c>
      <c r="BI80" s="387"/>
      <c r="BJ80" s="390" t="str">
        <f t="shared" ca="1" si="32"/>
        <v/>
      </c>
      <c r="BK80" s="390"/>
      <c r="BL80" s="636" t="str">
        <f t="shared" ca="1" si="82"/>
        <v/>
      </c>
      <c r="BM80" s="637"/>
      <c r="BN80" s="522" t="str">
        <f t="shared" ca="1" si="83"/>
        <v/>
      </c>
      <c r="BO80" s="524"/>
      <c r="BP80" s="525" t="str">
        <f t="shared" ca="1" si="33"/>
        <v/>
      </c>
      <c r="BQ80" s="526"/>
      <c r="BR80" s="527"/>
      <c r="BS80" s="525" t="str">
        <f t="shared" ca="1" si="34"/>
        <v/>
      </c>
      <c r="BT80" s="526"/>
      <c r="BU80" s="527"/>
      <c r="BV80" s="390">
        <f t="shared" ca="1" si="35"/>
        <v>0</v>
      </c>
      <c r="BW80" s="390"/>
      <c r="BX80" s="390"/>
      <c r="BY80" s="522">
        <f t="shared" ca="1" si="36"/>
        <v>0</v>
      </c>
      <c r="BZ80" s="523"/>
      <c r="CA80" s="524"/>
      <c r="CB80" s="348">
        <f t="shared" si="37"/>
        <v>0</v>
      </c>
      <c r="CC80" s="348"/>
      <c r="CD80" s="348"/>
      <c r="CE80" s="348">
        <f t="shared" si="38"/>
        <v>0</v>
      </c>
      <c r="CF80" s="348"/>
      <c r="CG80" s="348"/>
      <c r="CH80" s="348">
        <f t="shared" si="39"/>
        <v>0</v>
      </c>
      <c r="CI80" s="348"/>
      <c r="CJ80" s="348"/>
      <c r="CK80" s="373" t="str">
        <f t="shared" ca="1" si="78"/>
        <v/>
      </c>
      <c r="CL80" s="373"/>
      <c r="CM80" s="373" t="str">
        <f ca="1">IF(AW80="","",IF(ISERROR(VLOOKUP(AC80,テーブル!G:H,2,FALSE)),"",VLOOKUP(AC80,テーブル!G:H,2,FALSE)))</f>
        <v/>
      </c>
      <c r="CN80" s="373"/>
      <c r="CO80" s="373" t="str">
        <f ca="1">IF(AW80="","",IF(ISERROR(VLOOKUP(AH80,テーブル!I:J,2,FALSE)),"",VLOOKUP(AH80,テーブル!I:J,2,FALSE)))</f>
        <v/>
      </c>
      <c r="CP80" s="373"/>
      <c r="CQ80" s="373" t="str">
        <f t="shared" ca="1" si="11"/>
        <v/>
      </c>
      <c r="CR80" s="373"/>
      <c r="CS80" s="373" t="str">
        <f t="shared" ca="1" si="12"/>
        <v/>
      </c>
      <c r="CT80" s="373"/>
      <c r="CU80" s="348">
        <f ca="1">所得換算!F107</f>
        <v>0</v>
      </c>
      <c r="CV80" s="348"/>
      <c r="CW80" s="348"/>
      <c r="CX80" s="348">
        <f ca="1">所得換算!F117</f>
        <v>0</v>
      </c>
      <c r="CY80" s="348"/>
      <c r="CZ80" s="349"/>
      <c r="DA80" s="483">
        <f t="shared" ca="1" si="40"/>
        <v>0</v>
      </c>
      <c r="DB80" s="484"/>
      <c r="DC80" s="484"/>
      <c r="DD80" s="491">
        <f t="shared" ca="1" si="41"/>
        <v>0</v>
      </c>
      <c r="DE80" s="491"/>
      <c r="DF80" s="491"/>
      <c r="DG80" s="481">
        <f t="shared" ca="1" si="42"/>
        <v>0</v>
      </c>
      <c r="DH80" s="481"/>
      <c r="DI80" s="482"/>
      <c r="DJ80" s="496">
        <f t="shared" ca="1" si="79"/>
        <v>0</v>
      </c>
      <c r="DK80" s="484"/>
      <c r="DL80" s="484"/>
      <c r="DM80" s="491">
        <f t="shared" ca="1" si="80"/>
        <v>0</v>
      </c>
      <c r="DN80" s="491"/>
      <c r="DO80" s="491"/>
      <c r="DP80" s="481">
        <f t="shared" ca="1" si="15"/>
        <v>0</v>
      </c>
      <c r="DQ80" s="481"/>
      <c r="DR80" s="482"/>
      <c r="DS80" s="459">
        <v>0</v>
      </c>
      <c r="DT80" s="403"/>
      <c r="DU80" s="403"/>
      <c r="DV80" s="404">
        <v>0</v>
      </c>
      <c r="DW80" s="404"/>
      <c r="DX80" s="404"/>
      <c r="DY80" s="405">
        <v>0</v>
      </c>
      <c r="DZ80" s="405"/>
      <c r="EA80" s="406"/>
      <c r="EB80" s="485">
        <f t="shared" ca="1" si="43"/>
        <v>0</v>
      </c>
      <c r="EC80" s="486"/>
      <c r="ED80" s="486"/>
      <c r="EE80" s="489">
        <f t="shared" ca="1" si="44"/>
        <v>0</v>
      </c>
      <c r="EF80" s="489"/>
      <c r="EG80" s="489"/>
      <c r="EH80" s="467">
        <f t="shared" ca="1" si="45"/>
        <v>0</v>
      </c>
      <c r="EI80" s="467"/>
      <c r="EJ80" s="468"/>
      <c r="EK80" s="464">
        <f t="shared" ca="1" si="46"/>
        <v>0</v>
      </c>
      <c r="EL80" s="403"/>
      <c r="EM80" s="403"/>
      <c r="EN80" s="460">
        <f t="shared" ca="1" si="18"/>
        <v>0</v>
      </c>
      <c r="EO80" s="404"/>
      <c r="EP80" s="404"/>
      <c r="EQ80" s="461">
        <f t="shared" ca="1" si="19"/>
        <v>0</v>
      </c>
      <c r="ER80" s="405"/>
      <c r="ES80" s="406"/>
      <c r="ET80" s="459">
        <f t="shared" ca="1" si="47"/>
        <v>0</v>
      </c>
      <c r="EU80" s="403"/>
      <c r="EV80" s="403"/>
      <c r="EW80" s="404">
        <f t="shared" ca="1" si="48"/>
        <v>0</v>
      </c>
      <c r="EX80" s="404"/>
      <c r="EY80" s="404"/>
      <c r="EZ80" s="405">
        <f t="shared" ca="1" si="20"/>
        <v>0</v>
      </c>
      <c r="FA80" s="405"/>
      <c r="FB80" s="406"/>
      <c r="FC80" s="402">
        <f t="shared" ca="1" si="21"/>
        <v>0</v>
      </c>
      <c r="FD80" s="403"/>
      <c r="FE80" s="403"/>
      <c r="FF80" s="404">
        <f t="shared" ca="1" si="22"/>
        <v>0</v>
      </c>
      <c r="FG80" s="404"/>
      <c r="FH80" s="404"/>
      <c r="FI80" s="405">
        <f t="shared" ca="1" si="23"/>
        <v>0</v>
      </c>
      <c r="FJ80" s="405"/>
      <c r="FK80" s="406"/>
      <c r="FL80" s="433">
        <f t="shared" ca="1" si="49"/>
        <v>0</v>
      </c>
      <c r="FM80" s="434"/>
      <c r="FN80" s="434"/>
      <c r="FO80" s="435">
        <f t="shared" ca="1" si="50"/>
        <v>0</v>
      </c>
      <c r="FP80" s="435"/>
      <c r="FQ80" s="435"/>
      <c r="FR80" s="436">
        <f t="shared" ca="1" si="51"/>
        <v>0</v>
      </c>
      <c r="FS80" s="436"/>
      <c r="FT80" s="437"/>
      <c r="FU80" s="428">
        <f t="shared" ca="1" si="52"/>
        <v>0</v>
      </c>
      <c r="FV80" s="429"/>
      <c r="FW80" s="429"/>
      <c r="FX80" s="352">
        <f t="shared" ca="1" si="53"/>
        <v>0</v>
      </c>
      <c r="FY80" s="352"/>
      <c r="FZ80" s="352"/>
      <c r="GA80" s="350">
        <f t="shared" ca="1" si="54"/>
        <v>0</v>
      </c>
      <c r="GB80" s="350"/>
      <c r="GC80" s="351"/>
      <c r="GE80" s="261" t="str">
        <f t="shared" ca="1" si="55"/>
        <v/>
      </c>
      <c r="GF80" s="255" t="str">
        <f t="shared" ca="1" si="56"/>
        <v/>
      </c>
      <c r="GG80" s="262" t="str">
        <f t="shared" ca="1" si="57"/>
        <v/>
      </c>
      <c r="GH80" s="260" t="str">
        <f t="shared" ca="1" si="24"/>
        <v/>
      </c>
      <c r="GI80" s="260" t="str">
        <f t="shared" ca="1" si="25"/>
        <v/>
      </c>
      <c r="GJ80" s="260" t="str">
        <f t="shared" ca="1" si="25"/>
        <v/>
      </c>
      <c r="GK80" s="260" t="str">
        <f t="shared" ca="1" si="25"/>
        <v/>
      </c>
      <c r="GL80" s="260" t="str">
        <f t="shared" ca="1" si="25"/>
        <v/>
      </c>
      <c r="GM80" s="260" t="str">
        <f t="shared" ca="1" si="25"/>
        <v/>
      </c>
      <c r="GN80" s="260" t="str">
        <f t="shared" ca="1" si="25"/>
        <v/>
      </c>
      <c r="GO80" s="260" t="str">
        <f t="shared" ca="1" si="25"/>
        <v/>
      </c>
      <c r="GP80" s="260" t="str">
        <f t="shared" ca="1" si="25"/>
        <v/>
      </c>
      <c r="GQ80" s="260" t="str">
        <f t="shared" ca="1" si="25"/>
        <v/>
      </c>
      <c r="GR80" s="260" t="str">
        <f t="shared" ca="1" si="25"/>
        <v/>
      </c>
      <c r="GS80" s="260" t="str">
        <f t="shared" ca="1" si="25"/>
        <v/>
      </c>
      <c r="GT80" s="254">
        <f t="shared" ca="1" si="58"/>
        <v>0</v>
      </c>
      <c r="GU80" s="220" t="str">
        <f t="shared" ca="1" si="59"/>
        <v/>
      </c>
      <c r="GV80" s="258">
        <f t="shared" ca="1" si="60"/>
        <v>0</v>
      </c>
      <c r="GX80" s="261" t="str">
        <f t="shared" ca="1" si="61"/>
        <v/>
      </c>
      <c r="GY80" s="255" t="str">
        <f t="shared" ca="1" si="62"/>
        <v/>
      </c>
      <c r="GZ80" s="262" t="str">
        <f t="shared" ca="1" si="63"/>
        <v/>
      </c>
      <c r="HA80" s="260" t="str">
        <f t="shared" ca="1" si="64"/>
        <v/>
      </c>
      <c r="HB80" s="260" t="str">
        <f t="shared" ca="1" si="26"/>
        <v/>
      </c>
      <c r="HC80" s="260" t="str">
        <f t="shared" ca="1" si="26"/>
        <v/>
      </c>
      <c r="HD80" s="260" t="str">
        <f t="shared" ca="1" si="26"/>
        <v/>
      </c>
      <c r="HE80" s="260" t="str">
        <f t="shared" ca="1" si="26"/>
        <v/>
      </c>
      <c r="HF80" s="260" t="str">
        <f t="shared" ca="1" si="26"/>
        <v/>
      </c>
      <c r="HG80" s="260" t="str">
        <f t="shared" ca="1" si="26"/>
        <v/>
      </c>
      <c r="HH80" s="260" t="str">
        <f t="shared" ca="1" si="26"/>
        <v/>
      </c>
      <c r="HI80" s="260" t="str">
        <f t="shared" ca="1" si="26"/>
        <v/>
      </c>
      <c r="HJ80" s="260" t="str">
        <f t="shared" ca="1" si="26"/>
        <v/>
      </c>
      <c r="HK80" s="260" t="str">
        <f t="shared" ca="1" si="26"/>
        <v/>
      </c>
      <c r="HL80" s="260" t="str">
        <f t="shared" ca="1" si="26"/>
        <v/>
      </c>
      <c r="HM80" s="254">
        <f t="shared" ca="1" si="65"/>
        <v>0</v>
      </c>
      <c r="HN80" s="220" t="str">
        <f t="shared" ca="1" si="81"/>
        <v/>
      </c>
      <c r="HO80" s="258">
        <f t="shared" ca="1" si="66"/>
        <v>0</v>
      </c>
      <c r="HQ80" s="277" t="str">
        <f t="shared" ca="1" si="67"/>
        <v/>
      </c>
      <c r="HR80" s="278" t="str">
        <f t="shared" ca="1" si="68"/>
        <v/>
      </c>
      <c r="HS80" s="277" t="str">
        <f t="shared" ca="1" si="69"/>
        <v/>
      </c>
      <c r="HT80" s="293" t="str">
        <f t="shared" ca="1" si="70"/>
        <v/>
      </c>
      <c r="HU80" s="277" t="str">
        <f t="shared" ca="1" si="71"/>
        <v/>
      </c>
      <c r="HV80" s="296" t="str">
        <f t="shared" ca="1" si="72"/>
        <v/>
      </c>
      <c r="HW80" s="275" t="str">
        <f t="shared" ca="1" si="73"/>
        <v/>
      </c>
      <c r="HX80" s="275" t="str">
        <f t="shared" ca="1" si="27"/>
        <v/>
      </c>
      <c r="HY80" s="275" t="str">
        <f t="shared" ca="1" si="27"/>
        <v/>
      </c>
      <c r="HZ80" s="275" t="str">
        <f t="shared" ca="1" si="27"/>
        <v/>
      </c>
      <c r="IA80" s="275" t="str">
        <f t="shared" ca="1" si="27"/>
        <v/>
      </c>
      <c r="IB80" s="275" t="str">
        <f t="shared" ca="1" si="27"/>
        <v/>
      </c>
      <c r="IC80" s="275" t="str">
        <f t="shared" ca="1" si="27"/>
        <v/>
      </c>
      <c r="ID80" s="275" t="str">
        <f t="shared" ca="1" si="27"/>
        <v/>
      </c>
      <c r="IE80" s="275" t="str">
        <f t="shared" ca="1" si="27"/>
        <v/>
      </c>
      <c r="IF80" s="275" t="str">
        <f t="shared" ca="1" si="27"/>
        <v/>
      </c>
      <c r="IG80" s="275" t="str">
        <f t="shared" ca="1" si="27"/>
        <v/>
      </c>
      <c r="IH80" s="275" t="str">
        <f t="shared" ca="1" si="27"/>
        <v/>
      </c>
      <c r="II80" s="270">
        <f t="shared" ca="1" si="74"/>
        <v>0</v>
      </c>
      <c r="IJ80" s="276" t="str">
        <f t="shared" ca="1" si="75"/>
        <v/>
      </c>
      <c r="IK80" s="272">
        <f t="shared" ca="1" si="76"/>
        <v>0</v>
      </c>
    </row>
    <row r="81" spans="1:245" ht="36" customHeight="1" thickBot="1">
      <c r="A81" s="228" t="str">
        <f t="shared" ca="1" si="77"/>
        <v/>
      </c>
      <c r="B81" s="586" t="s">
        <v>11</v>
      </c>
      <c r="C81" s="587"/>
      <c r="D81" s="587"/>
      <c r="E81" s="588"/>
      <c r="F81" s="564"/>
      <c r="G81" s="565"/>
      <c r="H81" s="566"/>
      <c r="I81" s="566"/>
      <c r="J81" s="566"/>
      <c r="K81" s="566"/>
      <c r="L81" s="566"/>
      <c r="M81" s="567"/>
      <c r="N81" s="544"/>
      <c r="O81" s="544"/>
      <c r="P81" s="544"/>
      <c r="Q81" s="544"/>
      <c r="R81" s="544"/>
      <c r="S81" s="568"/>
      <c r="T81" s="544"/>
      <c r="U81" s="544"/>
      <c r="V81" s="544"/>
      <c r="W81" s="569"/>
      <c r="X81" s="544"/>
      <c r="Y81" s="544"/>
      <c r="Z81" s="544"/>
      <c r="AA81" s="544"/>
      <c r="AB81" s="545"/>
      <c r="AC81" s="385"/>
      <c r="AD81" s="386"/>
      <c r="AE81" s="386"/>
      <c r="AF81" s="386"/>
      <c r="AG81" s="386"/>
      <c r="AH81" s="515"/>
      <c r="AI81" s="516"/>
      <c r="AJ81" s="516"/>
      <c r="AK81" s="516"/>
      <c r="AL81" s="517"/>
      <c r="AM81" s="161"/>
      <c r="AU81" s="210">
        <f ca="1">IF($O$62="",IF(ISERROR(DATEVALUE(VLOOKUP(F81,テーブル!$A$2:$B$4,2,FALSE)&amp;H81&amp;"."&amp;J81&amp;"."&amp;L81)),IF(F81="",0,1),IF(DATEVALUE(VLOOKUP(F81,テーブル!$A$2:$B$4,2,FALSE)&amp;H81&amp;"."&amp;J81&amp;"."&amp;L81)&gt;$BK$62,1,0)),1)</f>
        <v>0</v>
      </c>
      <c r="AV81" s="210">
        <f>IF(ISERROR(DATEVALUE(VLOOKUP(F81,テーブル!$A$2:$B$4,2,FALSE)&amp;H81&amp;"."&amp;J81&amp;"."&amp;L81)),IF(F81="",0,1),IF(ROUNDDOWN(YEARFRAC(DATEVALUE(VLOOKUP(F81,テーブル!$A$2:$B$4,2,FALSE)&amp;H81&amp;"."&amp;J81&amp;"."&amp;L81),$AZ$62,1),0)&gt;74,1,0))</f>
        <v>0</v>
      </c>
      <c r="AW81" s="387" t="str">
        <f ca="1">IF(OR(AU81=1,AV81=1),"",IF(ISERROR(DATEVALUE(VLOOKUP(F81,テーブル!$A$2:$B$4,2,FALSE)&amp;H81&amp;"."&amp;J81&amp;"."&amp;L81)),"",IF(DATEVALUE(VLOOKUP(F81,テーブル!$A$2:$B$4,2,FALSE)&amp;H81&amp;"."&amp;J81&amp;"."&amp;L81)&gt;$BK$62,"",DATEVALUE(VLOOKUP(F81,テーブル!$A$2:$B$4,2,FALSE)&amp;H81&amp;"."&amp;J81&amp;"."&amp;L81))))</f>
        <v/>
      </c>
      <c r="AX81" s="387"/>
      <c r="AY81" s="387"/>
      <c r="AZ81" s="373" t="str">
        <f t="shared" ca="1" si="28"/>
        <v/>
      </c>
      <c r="BA81" s="373"/>
      <c r="BB81" s="373" t="str">
        <f ca="1">IF(AW81="","",VLOOKUP(AZ81,テーブル!C:D,2,FALSE))</f>
        <v/>
      </c>
      <c r="BC81" s="373"/>
      <c r="BD81" s="387" t="str">
        <f t="shared" ca="1" si="29"/>
        <v/>
      </c>
      <c r="BE81" s="387"/>
      <c r="BF81" s="390" t="str">
        <f t="shared" ca="1" si="30"/>
        <v/>
      </c>
      <c r="BG81" s="390"/>
      <c r="BH81" s="387" t="str">
        <f t="shared" ca="1" si="31"/>
        <v/>
      </c>
      <c r="BI81" s="387"/>
      <c r="BJ81" s="390" t="str">
        <f t="shared" ca="1" si="32"/>
        <v/>
      </c>
      <c r="BK81" s="390"/>
      <c r="BL81" s="636" t="str">
        <f t="shared" ca="1" si="82"/>
        <v/>
      </c>
      <c r="BM81" s="637"/>
      <c r="BN81" s="522" t="str">
        <f t="shared" ca="1" si="83"/>
        <v/>
      </c>
      <c r="BO81" s="524"/>
      <c r="BP81" s="525" t="str">
        <f t="shared" ca="1" si="33"/>
        <v/>
      </c>
      <c r="BQ81" s="526"/>
      <c r="BR81" s="527"/>
      <c r="BS81" s="525" t="str">
        <f t="shared" ca="1" si="34"/>
        <v/>
      </c>
      <c r="BT81" s="526"/>
      <c r="BU81" s="527"/>
      <c r="BV81" s="390">
        <f t="shared" ca="1" si="35"/>
        <v>0</v>
      </c>
      <c r="BW81" s="390"/>
      <c r="BX81" s="390"/>
      <c r="BY81" s="522">
        <f t="shared" ca="1" si="36"/>
        <v>0</v>
      </c>
      <c r="BZ81" s="523"/>
      <c r="CA81" s="524"/>
      <c r="CB81" s="348">
        <f t="shared" si="37"/>
        <v>0</v>
      </c>
      <c r="CC81" s="348"/>
      <c r="CD81" s="348"/>
      <c r="CE81" s="348">
        <f t="shared" si="38"/>
        <v>0</v>
      </c>
      <c r="CF81" s="348"/>
      <c r="CG81" s="348"/>
      <c r="CH81" s="348">
        <f t="shared" si="39"/>
        <v>0</v>
      </c>
      <c r="CI81" s="348"/>
      <c r="CJ81" s="348"/>
      <c r="CK81" s="373" t="str">
        <f t="shared" ca="1" si="78"/>
        <v/>
      </c>
      <c r="CL81" s="373"/>
      <c r="CM81" s="373" t="str">
        <f ca="1">IF(AW81="","",IF(ISERROR(VLOOKUP(AC81,テーブル!G:H,2,FALSE)),"",VLOOKUP(AC81,テーブル!G:H,2,FALSE)))</f>
        <v/>
      </c>
      <c r="CN81" s="373"/>
      <c r="CO81" s="419" t="str">
        <f ca="1">IF(AW81="","",IF(ISERROR(VLOOKUP(AH81,テーブル!I:J,2,FALSE)),"",VLOOKUP(AH81,テーブル!I:J,2,FALSE)))</f>
        <v/>
      </c>
      <c r="CP81" s="419"/>
      <c r="CQ81" s="419" t="str">
        <f t="shared" ca="1" si="11"/>
        <v/>
      </c>
      <c r="CR81" s="419"/>
      <c r="CS81" s="419" t="str">
        <f t="shared" ca="1" si="12"/>
        <v/>
      </c>
      <c r="CT81" s="419"/>
      <c r="CU81" s="347">
        <f ca="1">所得換算!F108</f>
        <v>0</v>
      </c>
      <c r="CV81" s="347"/>
      <c r="CW81" s="347"/>
      <c r="CX81" s="347">
        <f ca="1">所得換算!F118</f>
        <v>0</v>
      </c>
      <c r="CY81" s="347"/>
      <c r="CZ81" s="497"/>
      <c r="DA81" s="483">
        <f t="shared" ca="1" si="40"/>
        <v>0</v>
      </c>
      <c r="DB81" s="484"/>
      <c r="DC81" s="484"/>
      <c r="DD81" s="491">
        <f t="shared" ca="1" si="41"/>
        <v>0</v>
      </c>
      <c r="DE81" s="491"/>
      <c r="DF81" s="491"/>
      <c r="DG81" s="481">
        <f t="shared" ca="1" si="42"/>
        <v>0</v>
      </c>
      <c r="DH81" s="481"/>
      <c r="DI81" s="482"/>
      <c r="DJ81" s="496">
        <f t="shared" ca="1" si="79"/>
        <v>0</v>
      </c>
      <c r="DK81" s="484"/>
      <c r="DL81" s="484"/>
      <c r="DM81" s="491">
        <f t="shared" ca="1" si="80"/>
        <v>0</v>
      </c>
      <c r="DN81" s="491"/>
      <c r="DO81" s="491"/>
      <c r="DP81" s="494">
        <f t="shared" ca="1" si="15"/>
        <v>0</v>
      </c>
      <c r="DQ81" s="494"/>
      <c r="DR81" s="495"/>
      <c r="DS81" s="476">
        <v>0</v>
      </c>
      <c r="DT81" s="453"/>
      <c r="DU81" s="453"/>
      <c r="DV81" s="454">
        <v>0</v>
      </c>
      <c r="DW81" s="454"/>
      <c r="DX81" s="454"/>
      <c r="DY81" s="450">
        <v>0</v>
      </c>
      <c r="DZ81" s="450"/>
      <c r="EA81" s="451"/>
      <c r="EB81" s="487">
        <f t="shared" ca="1" si="43"/>
        <v>0</v>
      </c>
      <c r="EC81" s="488"/>
      <c r="ED81" s="488"/>
      <c r="EE81" s="490">
        <f t="shared" ca="1" si="44"/>
        <v>0</v>
      </c>
      <c r="EF81" s="490"/>
      <c r="EG81" s="490"/>
      <c r="EH81" s="469">
        <f t="shared" ca="1" si="45"/>
        <v>0</v>
      </c>
      <c r="EI81" s="469"/>
      <c r="EJ81" s="470"/>
      <c r="EK81" s="466">
        <f t="shared" ca="1" si="46"/>
        <v>0</v>
      </c>
      <c r="EL81" s="453"/>
      <c r="EM81" s="453"/>
      <c r="EN81" s="456">
        <f t="shared" ca="1" si="18"/>
        <v>0</v>
      </c>
      <c r="EO81" s="454"/>
      <c r="EP81" s="454"/>
      <c r="EQ81" s="457">
        <f t="shared" ca="1" si="19"/>
        <v>0</v>
      </c>
      <c r="ER81" s="450"/>
      <c r="ES81" s="451"/>
      <c r="ET81" s="459">
        <f t="shared" ca="1" si="47"/>
        <v>0</v>
      </c>
      <c r="EU81" s="403"/>
      <c r="EV81" s="403"/>
      <c r="EW81" s="404">
        <f t="shared" ca="1" si="48"/>
        <v>0</v>
      </c>
      <c r="EX81" s="404"/>
      <c r="EY81" s="404"/>
      <c r="EZ81" s="450">
        <f t="shared" ca="1" si="20"/>
        <v>0</v>
      </c>
      <c r="FA81" s="450"/>
      <c r="FB81" s="451"/>
      <c r="FC81" s="452">
        <f t="shared" ca="1" si="21"/>
        <v>0</v>
      </c>
      <c r="FD81" s="453"/>
      <c r="FE81" s="453"/>
      <c r="FF81" s="454">
        <f t="shared" ca="1" si="22"/>
        <v>0</v>
      </c>
      <c r="FG81" s="454"/>
      <c r="FH81" s="454"/>
      <c r="FI81" s="450">
        <f t="shared" ca="1" si="23"/>
        <v>0</v>
      </c>
      <c r="FJ81" s="450"/>
      <c r="FK81" s="451"/>
      <c r="FL81" s="438">
        <f t="shared" ca="1" si="49"/>
        <v>0</v>
      </c>
      <c r="FM81" s="439"/>
      <c r="FN81" s="439"/>
      <c r="FO81" s="440">
        <f t="shared" ca="1" si="50"/>
        <v>0</v>
      </c>
      <c r="FP81" s="440"/>
      <c r="FQ81" s="440"/>
      <c r="FR81" s="441">
        <f t="shared" ca="1" si="51"/>
        <v>0</v>
      </c>
      <c r="FS81" s="441"/>
      <c r="FT81" s="442"/>
      <c r="FU81" s="428">
        <f t="shared" ca="1" si="52"/>
        <v>0</v>
      </c>
      <c r="FV81" s="429"/>
      <c r="FW81" s="429"/>
      <c r="FX81" s="352">
        <f t="shared" ca="1" si="53"/>
        <v>0</v>
      </c>
      <c r="FY81" s="352"/>
      <c r="FZ81" s="352"/>
      <c r="GA81" s="350">
        <f t="shared" ca="1" si="54"/>
        <v>0</v>
      </c>
      <c r="GB81" s="350"/>
      <c r="GC81" s="351"/>
      <c r="GE81" s="263" t="str">
        <f t="shared" ca="1" si="55"/>
        <v/>
      </c>
      <c r="GF81" s="300" t="str">
        <f t="shared" ca="1" si="56"/>
        <v/>
      </c>
      <c r="GG81" s="264" t="str">
        <f t="shared" ca="1" si="57"/>
        <v/>
      </c>
      <c r="GH81" s="260" t="str">
        <f t="shared" ca="1" si="24"/>
        <v/>
      </c>
      <c r="GI81" s="260" t="str">
        <f t="shared" ca="1" si="25"/>
        <v/>
      </c>
      <c r="GJ81" s="260" t="str">
        <f t="shared" ca="1" si="25"/>
        <v/>
      </c>
      <c r="GK81" s="260" t="str">
        <f t="shared" ca="1" si="25"/>
        <v/>
      </c>
      <c r="GL81" s="260" t="str">
        <f t="shared" ca="1" si="25"/>
        <v/>
      </c>
      <c r="GM81" s="260" t="str">
        <f t="shared" ca="1" si="25"/>
        <v/>
      </c>
      <c r="GN81" s="260" t="str">
        <f t="shared" ca="1" si="25"/>
        <v/>
      </c>
      <c r="GO81" s="260" t="str">
        <f t="shared" ca="1" si="25"/>
        <v/>
      </c>
      <c r="GP81" s="260" t="str">
        <f t="shared" ca="1" si="25"/>
        <v/>
      </c>
      <c r="GQ81" s="260" t="str">
        <f t="shared" ca="1" si="25"/>
        <v/>
      </c>
      <c r="GR81" s="260" t="str">
        <f t="shared" ca="1" si="25"/>
        <v/>
      </c>
      <c r="GS81" s="260" t="str">
        <f t="shared" ca="1" si="25"/>
        <v/>
      </c>
      <c r="GT81" s="254">
        <f t="shared" ca="1" si="58"/>
        <v>0</v>
      </c>
      <c r="GU81" s="220" t="str">
        <f t="shared" ca="1" si="59"/>
        <v/>
      </c>
      <c r="GV81" s="258">
        <f t="shared" ca="1" si="60"/>
        <v>0</v>
      </c>
      <c r="GX81" s="263" t="str">
        <f t="shared" ca="1" si="61"/>
        <v/>
      </c>
      <c r="GY81" s="300" t="str">
        <f t="shared" ca="1" si="62"/>
        <v/>
      </c>
      <c r="GZ81" s="264" t="str">
        <f t="shared" ca="1" si="63"/>
        <v/>
      </c>
      <c r="HA81" s="260" t="str">
        <f t="shared" ca="1" si="64"/>
        <v/>
      </c>
      <c r="HB81" s="260" t="str">
        <f t="shared" ca="1" si="26"/>
        <v/>
      </c>
      <c r="HC81" s="260" t="str">
        <f t="shared" ca="1" si="26"/>
        <v/>
      </c>
      <c r="HD81" s="260" t="str">
        <f t="shared" ca="1" si="26"/>
        <v/>
      </c>
      <c r="HE81" s="260" t="str">
        <f t="shared" ca="1" si="26"/>
        <v/>
      </c>
      <c r="HF81" s="260" t="str">
        <f t="shared" ca="1" si="26"/>
        <v/>
      </c>
      <c r="HG81" s="260" t="str">
        <f t="shared" ca="1" si="26"/>
        <v/>
      </c>
      <c r="HH81" s="260" t="str">
        <f t="shared" ca="1" si="26"/>
        <v/>
      </c>
      <c r="HI81" s="260" t="str">
        <f t="shared" ca="1" si="26"/>
        <v/>
      </c>
      <c r="HJ81" s="260" t="str">
        <f t="shared" ca="1" si="26"/>
        <v/>
      </c>
      <c r="HK81" s="260" t="str">
        <f t="shared" ca="1" si="26"/>
        <v/>
      </c>
      <c r="HL81" s="260" t="str">
        <f t="shared" ca="1" si="26"/>
        <v/>
      </c>
      <c r="HM81" s="254">
        <f t="shared" ca="1" si="65"/>
        <v>0</v>
      </c>
      <c r="HN81" s="220" t="str">
        <f t="shared" ca="1" si="81"/>
        <v/>
      </c>
      <c r="HO81" s="258">
        <f t="shared" ca="1" si="66"/>
        <v>0</v>
      </c>
      <c r="HQ81" s="279" t="str">
        <f t="shared" ca="1" si="67"/>
        <v/>
      </c>
      <c r="HR81" s="280" t="str">
        <f t="shared" ca="1" si="68"/>
        <v/>
      </c>
      <c r="HS81" s="279" t="str">
        <f t="shared" ca="1" si="69"/>
        <v/>
      </c>
      <c r="HT81" s="294" t="str">
        <f t="shared" ca="1" si="70"/>
        <v/>
      </c>
      <c r="HU81" s="279" t="str">
        <f t="shared" ca="1" si="71"/>
        <v/>
      </c>
      <c r="HV81" s="297" t="str">
        <f t="shared" ca="1" si="72"/>
        <v/>
      </c>
      <c r="HW81" s="275" t="str">
        <f t="shared" ca="1" si="73"/>
        <v/>
      </c>
      <c r="HX81" s="275" t="str">
        <f t="shared" ca="1" si="27"/>
        <v/>
      </c>
      <c r="HY81" s="275" t="str">
        <f t="shared" ca="1" si="27"/>
        <v/>
      </c>
      <c r="HZ81" s="275" t="str">
        <f t="shared" ca="1" si="27"/>
        <v/>
      </c>
      <c r="IA81" s="275" t="str">
        <f t="shared" ca="1" si="27"/>
        <v/>
      </c>
      <c r="IB81" s="275" t="str">
        <f t="shared" ca="1" si="27"/>
        <v/>
      </c>
      <c r="IC81" s="275" t="str">
        <f t="shared" ca="1" si="27"/>
        <v/>
      </c>
      <c r="ID81" s="275" t="str">
        <f t="shared" ca="1" si="27"/>
        <v/>
      </c>
      <c r="IE81" s="275" t="str">
        <f t="shared" ca="1" si="27"/>
        <v/>
      </c>
      <c r="IF81" s="275" t="str">
        <f t="shared" ca="1" si="27"/>
        <v/>
      </c>
      <c r="IG81" s="275" t="str">
        <f t="shared" ca="1" si="27"/>
        <v/>
      </c>
      <c r="IH81" s="275" t="str">
        <f t="shared" ca="1" si="27"/>
        <v/>
      </c>
      <c r="II81" s="270">
        <f t="shared" ca="1" si="74"/>
        <v>0</v>
      </c>
      <c r="IJ81" s="276" t="str">
        <f t="shared" ca="1" si="75"/>
        <v/>
      </c>
      <c r="IK81" s="272">
        <f t="shared" ca="1" si="76"/>
        <v>0</v>
      </c>
    </row>
    <row r="82" spans="1:245" ht="24.75" thickBot="1">
      <c r="A82" s="158"/>
      <c r="B82" s="160"/>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c r="AF82" s="160"/>
      <c r="AG82" s="160"/>
      <c r="AH82" s="160"/>
      <c r="AI82" s="160"/>
      <c r="AJ82" s="160"/>
      <c r="AK82" s="160"/>
      <c r="AL82" s="160"/>
      <c r="AM82" s="161"/>
      <c r="AU82" s="210">
        <f ca="1">SUM(AU75:AU81)+AU67</f>
        <v>0</v>
      </c>
      <c r="AV82" s="210">
        <f>SUM(AV75:AV81)+AV67</f>
        <v>0</v>
      </c>
      <c r="AW82" s="373">
        <f ca="1">AU82+AV82</f>
        <v>0</v>
      </c>
      <c r="AX82" s="373"/>
      <c r="AY82" s="373"/>
      <c r="AZ82" s="373">
        <f ca="1">IF(AU82&gt;0,3,IF(AV82&gt;0,2,1))</f>
        <v>1</v>
      </c>
      <c r="BA82" s="373"/>
      <c r="BB82" s="216"/>
      <c r="BC82" s="216"/>
      <c r="BD82" s="216"/>
      <c r="BE82" s="216"/>
      <c r="BF82" s="217"/>
      <c r="BG82" s="217"/>
      <c r="BH82" s="218"/>
      <c r="BI82" s="218"/>
      <c r="BJ82" s="219"/>
      <c r="BK82" s="219"/>
      <c r="BL82" s="218"/>
      <c r="BM82" s="218"/>
      <c r="BN82" s="390">
        <f ca="1">COUNTIF(BN75:BO81,2)</f>
        <v>0</v>
      </c>
      <c r="BO82" s="390"/>
      <c r="BP82" s="480" t="str">
        <f ca="1">IF(SUM(BP75:BR81)&gt;0,MIN(BP75:BR81),"")</f>
        <v/>
      </c>
      <c r="BQ82" s="346"/>
      <c r="BR82" s="346"/>
      <c r="BS82" s="480" t="str">
        <f ca="1">IF(SUM(BS75:BU81)&gt;0,MAX(BS75:BU81),"")</f>
        <v/>
      </c>
      <c r="BT82" s="346"/>
      <c r="BU82" s="346"/>
      <c r="BV82" s="390">
        <f ca="1">IF(BP82="",0,DATEDIF(BP82,BS82,"M")+1)</f>
        <v>0</v>
      </c>
      <c r="BW82" s="390"/>
      <c r="BX82" s="390"/>
      <c r="BY82" s="390">
        <f ca="1">MAX(BY75:CA81)</f>
        <v>0</v>
      </c>
      <c r="BZ82" s="390"/>
      <c r="CA82" s="390"/>
      <c r="CB82" s="216"/>
      <c r="CC82" s="216"/>
      <c r="CD82" s="216"/>
      <c r="CE82" s="216"/>
      <c r="CF82" s="216"/>
      <c r="CG82" s="216"/>
      <c r="CH82" s="216"/>
      <c r="CI82" s="216"/>
      <c r="CJ82" s="216"/>
      <c r="CK82" s="216"/>
      <c r="CL82" s="216"/>
      <c r="CM82" s="216"/>
      <c r="CN82" s="216"/>
      <c r="CO82" s="417" t="s">
        <v>237</v>
      </c>
      <c r="CP82" s="418"/>
      <c r="CQ82" s="499">
        <f ca="1">COUNT(CQ75:CR81)-BN82</f>
        <v>0</v>
      </c>
      <c r="CR82" s="499"/>
      <c r="CS82" s="499">
        <f ca="1">IF(COUNT(CS75:CT81)+COUNT(BR67)-1&gt;0,COUNT(CS75:CT81)+COUNT(BR67)-1,0)</f>
        <v>0</v>
      </c>
      <c r="CT82" s="499"/>
      <c r="CU82" s="388"/>
      <c r="CV82" s="388"/>
      <c r="CW82" s="388"/>
      <c r="CX82" s="388"/>
      <c r="CY82" s="388"/>
      <c r="CZ82" s="389"/>
      <c r="DA82" s="478">
        <f ca="1">SUM(DA75:DC81)</f>
        <v>0</v>
      </c>
      <c r="DB82" s="474"/>
      <c r="DC82" s="474"/>
      <c r="DD82" s="475">
        <f t="shared" ref="DD82" ca="1" si="84">SUM(DD75:DF81)</f>
        <v>0</v>
      </c>
      <c r="DE82" s="475"/>
      <c r="DF82" s="475"/>
      <c r="DG82" s="471">
        <f t="shared" ref="DG82" ca="1" si="85">SUM(DG75:DI81)</f>
        <v>0</v>
      </c>
      <c r="DH82" s="471"/>
      <c r="DI82" s="472"/>
      <c r="DJ82" s="473">
        <f t="shared" ref="DJ82" ca="1" si="86">SUM(DJ75:DL81)</f>
        <v>0</v>
      </c>
      <c r="DK82" s="474"/>
      <c r="DL82" s="474"/>
      <c r="DM82" s="475">
        <f t="shared" ref="DM82" ca="1" si="87">SUM(DM75:DO81)</f>
        <v>0</v>
      </c>
      <c r="DN82" s="475"/>
      <c r="DO82" s="475"/>
      <c r="DP82" s="471">
        <f t="shared" ref="DP82" ca="1" si="88">SUM(DP75:DR81)</f>
        <v>0</v>
      </c>
      <c r="DQ82" s="471"/>
      <c r="DR82" s="472"/>
      <c r="DS82" s="473">
        <f t="shared" ref="DS82" si="89">SUM(DS75:DU81)</f>
        <v>0</v>
      </c>
      <c r="DT82" s="474"/>
      <c r="DU82" s="474"/>
      <c r="DV82" s="475">
        <f t="shared" ref="DV82" si="90">SUM(DV75:DX81)</f>
        <v>0</v>
      </c>
      <c r="DW82" s="475"/>
      <c r="DX82" s="475"/>
      <c r="DY82" s="471">
        <f t="shared" ref="DY82" ca="1" si="91">SUM(DY75:EA81)</f>
        <v>0</v>
      </c>
      <c r="DZ82" s="471"/>
      <c r="EA82" s="472"/>
      <c r="EB82" s="448">
        <f ca="1">SUM(EB75:ED81)</f>
        <v>0</v>
      </c>
      <c r="EC82" s="444"/>
      <c r="ED82" s="444"/>
      <c r="EE82" s="445">
        <f ca="1">SUM(EE75:EG81)</f>
        <v>0</v>
      </c>
      <c r="EF82" s="445"/>
      <c r="EG82" s="445"/>
      <c r="EH82" s="446">
        <f ca="1">SUM(EH75:EJ81)</f>
        <v>0</v>
      </c>
      <c r="EI82" s="446"/>
      <c r="EJ82" s="449"/>
      <c r="EK82" s="458">
        <f t="shared" ref="EK82" ca="1" si="92">SUM(EK75:EM81)</f>
        <v>0</v>
      </c>
      <c r="EL82" s="444"/>
      <c r="EM82" s="444"/>
      <c r="EN82" s="445">
        <f t="shared" ref="EN82" ca="1" si="93">SUM(EN75:EP81)</f>
        <v>0</v>
      </c>
      <c r="EO82" s="445"/>
      <c r="EP82" s="445"/>
      <c r="EQ82" s="446">
        <f t="shared" ref="EQ82" ca="1" si="94">SUM(EQ75:ES81)</f>
        <v>0</v>
      </c>
      <c r="ER82" s="446"/>
      <c r="ES82" s="447"/>
      <c r="ET82" s="443">
        <f t="shared" ref="ET82" ca="1" si="95">SUM(ET75:EV81)</f>
        <v>0</v>
      </c>
      <c r="EU82" s="444"/>
      <c r="EV82" s="444"/>
      <c r="EW82" s="445">
        <f t="shared" ref="EW82" ca="1" si="96">SUM(EW75:EY81)</f>
        <v>0</v>
      </c>
      <c r="EX82" s="445"/>
      <c r="EY82" s="445"/>
      <c r="EZ82" s="446">
        <f t="shared" ref="EZ82" ca="1" si="97">SUM(EZ75:FB81)</f>
        <v>0</v>
      </c>
      <c r="FA82" s="446"/>
      <c r="FB82" s="447"/>
      <c r="FC82" s="448">
        <f t="shared" ref="FC82" ca="1" si="98">SUM(FC75:FE81)</f>
        <v>0</v>
      </c>
      <c r="FD82" s="444"/>
      <c r="FE82" s="444"/>
      <c r="FF82" s="445">
        <f t="shared" ref="FF82" ca="1" si="99">SUM(FF75:FH81)</f>
        <v>0</v>
      </c>
      <c r="FG82" s="445"/>
      <c r="FH82" s="445"/>
      <c r="FI82" s="446">
        <f t="shared" ref="FI82" ca="1" si="100">SUM(FI75:FK81)</f>
        <v>0</v>
      </c>
      <c r="FJ82" s="446"/>
      <c r="FK82" s="447"/>
      <c r="FL82" s="448">
        <f ca="1">SUM(FL75:FN81)</f>
        <v>0</v>
      </c>
      <c r="FM82" s="444"/>
      <c r="FN82" s="444"/>
      <c r="FO82" s="445">
        <f ca="1">SUM(FO75:FQ81)</f>
        <v>0</v>
      </c>
      <c r="FP82" s="445"/>
      <c r="FQ82" s="445"/>
      <c r="FR82" s="446">
        <f ca="1">SUM(FR75:FT81)</f>
        <v>0</v>
      </c>
      <c r="FS82" s="446"/>
      <c r="FT82" s="449"/>
      <c r="FU82" s="353">
        <f ca="1">SUM(FU75:FW81)</f>
        <v>0</v>
      </c>
      <c r="FV82" s="354"/>
      <c r="FW82" s="354"/>
      <c r="FX82" s="355">
        <f ca="1">SUM(FX75:FZ81)</f>
        <v>0</v>
      </c>
      <c r="FY82" s="355"/>
      <c r="FZ82" s="355"/>
      <c r="GA82" s="356">
        <f ca="1">SUM(GA75:GC81)</f>
        <v>0</v>
      </c>
      <c r="GB82" s="356"/>
      <c r="GC82" s="357"/>
      <c r="GE82" s="338" t="s">
        <v>346</v>
      </c>
      <c r="GF82" s="339"/>
      <c r="GG82" s="340"/>
      <c r="GH82" s="259">
        <f ca="1">SUM(GH74:GH81)</f>
        <v>0</v>
      </c>
      <c r="GI82" s="259">
        <f t="shared" ref="GI82:GS82" ca="1" si="101">SUM(GI74:GI81)</f>
        <v>0</v>
      </c>
      <c r="GJ82" s="259">
        <f t="shared" ca="1" si="101"/>
        <v>0</v>
      </c>
      <c r="GK82" s="259">
        <f t="shared" ca="1" si="101"/>
        <v>0</v>
      </c>
      <c r="GL82" s="259">
        <f t="shared" ca="1" si="101"/>
        <v>0</v>
      </c>
      <c r="GM82" s="259">
        <f t="shared" ca="1" si="101"/>
        <v>0</v>
      </c>
      <c r="GN82" s="259">
        <f t="shared" ca="1" si="101"/>
        <v>0</v>
      </c>
      <c r="GO82" s="259">
        <f t="shared" ca="1" si="101"/>
        <v>0</v>
      </c>
      <c r="GP82" s="259">
        <f t="shared" ca="1" si="101"/>
        <v>0</v>
      </c>
      <c r="GQ82" s="259">
        <f t="shared" ca="1" si="101"/>
        <v>0</v>
      </c>
      <c r="GR82" s="259">
        <f t="shared" ca="1" si="101"/>
        <v>0</v>
      </c>
      <c r="GS82" s="259">
        <f t="shared" ca="1" si="101"/>
        <v>0</v>
      </c>
      <c r="GT82" s="341">
        <f ca="1">SUM(GH82:GS82)</f>
        <v>0</v>
      </c>
      <c r="GU82" s="342"/>
      <c r="GV82" s="343"/>
      <c r="GX82" s="338" t="s">
        <v>346</v>
      </c>
      <c r="GY82" s="339"/>
      <c r="GZ82" s="340"/>
      <c r="HA82" s="259">
        <f ca="1">SUM(HA74:HA81)</f>
        <v>0</v>
      </c>
      <c r="HB82" s="259">
        <f t="shared" ref="HB82" ca="1" si="102">SUM(HB74:HB81)</f>
        <v>0</v>
      </c>
      <c r="HC82" s="259">
        <f t="shared" ref="HC82" ca="1" si="103">SUM(HC74:HC81)</f>
        <v>0</v>
      </c>
      <c r="HD82" s="259">
        <f t="shared" ref="HD82" ca="1" si="104">SUM(HD74:HD81)</f>
        <v>0</v>
      </c>
      <c r="HE82" s="259">
        <f t="shared" ref="HE82" ca="1" si="105">SUM(HE74:HE81)</f>
        <v>0</v>
      </c>
      <c r="HF82" s="259">
        <f t="shared" ref="HF82" ca="1" si="106">SUM(HF74:HF81)</f>
        <v>0</v>
      </c>
      <c r="HG82" s="259">
        <f t="shared" ref="HG82" ca="1" si="107">SUM(HG74:HG81)</f>
        <v>0</v>
      </c>
      <c r="HH82" s="259">
        <f t="shared" ref="HH82" ca="1" si="108">SUM(HH74:HH81)</f>
        <v>0</v>
      </c>
      <c r="HI82" s="259">
        <f t="shared" ref="HI82" ca="1" si="109">SUM(HI74:HI81)</f>
        <v>0</v>
      </c>
      <c r="HJ82" s="259">
        <f t="shared" ref="HJ82" ca="1" si="110">SUM(HJ74:HJ81)</f>
        <v>0</v>
      </c>
      <c r="HK82" s="259">
        <f t="shared" ref="HK82" ca="1" si="111">SUM(HK74:HK81)</f>
        <v>0</v>
      </c>
      <c r="HL82" s="259">
        <f t="shared" ref="HL82" ca="1" si="112">SUM(HL74:HL81)</f>
        <v>0</v>
      </c>
      <c r="HM82" s="341">
        <f ca="1">SUM(HA82:HL82)</f>
        <v>0</v>
      </c>
      <c r="HN82" s="342"/>
      <c r="HO82" s="343"/>
      <c r="HQ82" s="313" t="s">
        <v>346</v>
      </c>
      <c r="HR82" s="314"/>
      <c r="HS82" s="281"/>
      <c r="HT82" s="281"/>
      <c r="HU82" s="288"/>
      <c r="HV82" s="288"/>
      <c r="HW82" s="282">
        <f ca="1">SUM(HW74:HW81)</f>
        <v>0</v>
      </c>
      <c r="HX82" s="282">
        <f t="shared" ref="HX82" ca="1" si="113">SUM(HX74:HX81)</f>
        <v>0</v>
      </c>
      <c r="HY82" s="282">
        <f t="shared" ref="HY82" ca="1" si="114">SUM(HY74:HY81)</f>
        <v>0</v>
      </c>
      <c r="HZ82" s="282">
        <f t="shared" ref="HZ82" ca="1" si="115">SUM(HZ74:HZ81)</f>
        <v>0</v>
      </c>
      <c r="IA82" s="282">
        <f t="shared" ref="IA82" ca="1" si="116">SUM(IA74:IA81)</f>
        <v>0</v>
      </c>
      <c r="IB82" s="282">
        <f t="shared" ref="IB82" ca="1" si="117">SUM(IB74:IB81)</f>
        <v>0</v>
      </c>
      <c r="IC82" s="282">
        <f t="shared" ref="IC82" ca="1" si="118">SUM(IC74:IC81)</f>
        <v>0</v>
      </c>
      <c r="ID82" s="282">
        <f t="shared" ref="ID82" ca="1" si="119">SUM(ID74:ID81)</f>
        <v>0</v>
      </c>
      <c r="IE82" s="282">
        <f t="shared" ref="IE82" ca="1" si="120">SUM(IE74:IE81)</f>
        <v>0</v>
      </c>
      <c r="IF82" s="282">
        <f t="shared" ref="IF82" ca="1" si="121">SUM(IF74:IF81)</f>
        <v>0</v>
      </c>
      <c r="IG82" s="282">
        <f t="shared" ref="IG82" ca="1" si="122">SUM(IG74:IG81)</f>
        <v>0</v>
      </c>
      <c r="IH82" s="282">
        <f t="shared" ref="IH82" ca="1" si="123">SUM(IH74:IH81)</f>
        <v>0</v>
      </c>
      <c r="II82" s="315">
        <f ca="1">SUM(HW82:IH82)</f>
        <v>0</v>
      </c>
      <c r="IJ82" s="316"/>
      <c r="IK82" s="317"/>
    </row>
    <row r="83" spans="1:245" ht="25.5" thickTop="1" thickBot="1">
      <c r="A83" s="162"/>
      <c r="B83" s="163"/>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163"/>
      <c r="AF83" s="163"/>
      <c r="AG83" s="163"/>
      <c r="AH83" s="163"/>
      <c r="AI83" s="163"/>
      <c r="AJ83" s="163"/>
      <c r="AK83" s="163"/>
      <c r="AL83" s="163"/>
      <c r="AM83" s="164"/>
      <c r="AV83" s="251">
        <f ca="1">COUNTIF(A76:A81,"×")</f>
        <v>0</v>
      </c>
      <c r="AW83" s="144"/>
      <c r="AX83" s="144"/>
      <c r="AY83" s="144"/>
      <c r="AZ83" s="144"/>
      <c r="BA83" s="144"/>
      <c r="BB83" s="144"/>
      <c r="BC83" s="144"/>
      <c r="BD83" s="144"/>
      <c r="BE83" s="144"/>
      <c r="BF83" s="144"/>
      <c r="BV83" s="529"/>
      <c r="BW83" s="529"/>
      <c r="BX83" s="529"/>
      <c r="CB83" s="144"/>
      <c r="CC83" s="144"/>
      <c r="CD83" s="144"/>
      <c r="CE83" s="144"/>
      <c r="CF83" s="144"/>
      <c r="CG83" s="144"/>
      <c r="CH83" s="144"/>
      <c r="CI83" s="144"/>
      <c r="CJ83" s="144"/>
      <c r="CK83" s="144"/>
      <c r="CL83" s="144"/>
      <c r="CM83" s="144"/>
      <c r="CN83" s="144"/>
      <c r="CO83" s="145"/>
      <c r="CP83" s="145"/>
      <c r="CQ83" s="298"/>
      <c r="CR83" s="298"/>
      <c r="CS83" s="146"/>
      <c r="CT83" s="146"/>
      <c r="CU83" s="147"/>
      <c r="CV83" s="147"/>
      <c r="CW83" s="147"/>
      <c r="CX83" s="147"/>
      <c r="CY83" s="147"/>
      <c r="CZ83" s="147"/>
      <c r="DA83" s="147"/>
      <c r="DB83" s="147"/>
      <c r="DC83" s="147"/>
      <c r="DD83" s="147"/>
      <c r="DE83" s="147"/>
      <c r="DF83" s="147"/>
      <c r="DG83" s="147"/>
      <c r="DH83" s="147"/>
      <c r="DI83" s="147"/>
      <c r="DJ83" s="147"/>
      <c r="DK83" s="147"/>
      <c r="DL83" s="147"/>
      <c r="DM83" s="147"/>
      <c r="DN83" s="147"/>
      <c r="DO83" s="147"/>
      <c r="DP83" s="147"/>
      <c r="DQ83" s="147"/>
      <c r="DR83" s="147"/>
      <c r="DS83" s="147"/>
      <c r="DT83" s="147"/>
      <c r="DU83" s="147"/>
      <c r="DV83" s="147"/>
      <c r="DW83" s="147"/>
      <c r="DX83" s="147"/>
      <c r="DY83" s="397" t="s">
        <v>253</v>
      </c>
      <c r="DZ83" s="398"/>
      <c r="EA83" s="398"/>
      <c r="EB83" s="364">
        <f ca="1">ROUNDDOWN(EB82,-2)</f>
        <v>0</v>
      </c>
      <c r="EC83" s="364"/>
      <c r="ED83" s="364"/>
      <c r="EE83" s="420">
        <f ca="1">ROUNDDOWN(EE82,-2)</f>
        <v>0</v>
      </c>
      <c r="EF83" s="420"/>
      <c r="EG83" s="420"/>
      <c r="EH83" s="421">
        <f ca="1">ROUNDDOWN(EH82,-2)</f>
        <v>0</v>
      </c>
      <c r="EI83" s="421"/>
      <c r="EJ83" s="465"/>
      <c r="EK83" s="148"/>
      <c r="EL83" s="148"/>
      <c r="EM83" s="148"/>
      <c r="EN83" s="148"/>
      <c r="EO83" s="148"/>
      <c r="EP83" s="148"/>
      <c r="EQ83" s="148"/>
      <c r="ER83" s="148"/>
      <c r="ES83" s="148"/>
      <c r="ET83" s="148"/>
      <c r="EU83" s="148"/>
      <c r="EV83" s="148"/>
      <c r="EW83" s="148"/>
      <c r="EX83" s="148"/>
      <c r="EY83" s="148"/>
      <c r="EZ83" s="148"/>
      <c r="FA83" s="148"/>
      <c r="FB83" s="148"/>
      <c r="FC83" s="148"/>
      <c r="FD83" s="148"/>
      <c r="FE83" s="148"/>
      <c r="FF83" s="148"/>
      <c r="FG83" s="148"/>
      <c r="FH83" s="148"/>
      <c r="FI83" s="399" t="s">
        <v>352</v>
      </c>
      <c r="FJ83" s="400"/>
      <c r="FK83" s="401"/>
      <c r="FL83" s="363" t="str">
        <f ca="1">IF(FL82&gt;=CI72,"〇","-")</f>
        <v>-</v>
      </c>
      <c r="FM83" s="364"/>
      <c r="FN83" s="364"/>
      <c r="FO83" s="420" t="str">
        <f ca="1">IF(FO82&gt;=CL72,"〇","-")</f>
        <v>-</v>
      </c>
      <c r="FP83" s="420"/>
      <c r="FQ83" s="420"/>
      <c r="FR83" s="421" t="str">
        <f ca="1">IF(FR82&gt;=CO72,"〇","-")</f>
        <v>-</v>
      </c>
      <c r="FS83" s="421"/>
      <c r="FT83" s="422"/>
      <c r="FU83" s="358" t="str">
        <f ca="1">IF(GT85&gt;0,"〇","-")</f>
        <v>-</v>
      </c>
      <c r="FV83" s="359"/>
      <c r="FW83" s="359"/>
      <c r="FX83" s="360" t="str">
        <f ca="1">IF(HM85&gt;0,"〇","-")</f>
        <v>-</v>
      </c>
      <c r="FY83" s="360"/>
      <c r="FZ83" s="360"/>
      <c r="GA83" s="361" t="str">
        <f ca="1">IF(II85&gt;0,"〇","-")</f>
        <v>-</v>
      </c>
      <c r="GB83" s="361"/>
      <c r="GC83" s="362"/>
      <c r="GE83" s="328" t="s">
        <v>345</v>
      </c>
      <c r="GF83" s="329"/>
      <c r="GG83" s="330"/>
      <c r="GH83" s="220">
        <f>ROUNDUP($CI$72/12,3)</f>
        <v>54166.666999999994</v>
      </c>
      <c r="GI83" s="220">
        <f t="shared" ref="GI83:GS83" si="124">ROUNDUP($CI$72/12,3)</f>
        <v>54166.666999999994</v>
      </c>
      <c r="GJ83" s="220">
        <f t="shared" si="124"/>
        <v>54166.666999999994</v>
      </c>
      <c r="GK83" s="220">
        <f t="shared" si="124"/>
        <v>54166.666999999994</v>
      </c>
      <c r="GL83" s="220">
        <f t="shared" si="124"/>
        <v>54166.666999999994</v>
      </c>
      <c r="GM83" s="220">
        <f t="shared" si="124"/>
        <v>54166.666999999994</v>
      </c>
      <c r="GN83" s="220">
        <f t="shared" si="124"/>
        <v>54166.666999999994</v>
      </c>
      <c r="GO83" s="220">
        <f t="shared" si="124"/>
        <v>54166.666999999994</v>
      </c>
      <c r="GP83" s="220">
        <f t="shared" si="124"/>
        <v>54166.666999999994</v>
      </c>
      <c r="GQ83" s="220">
        <f t="shared" si="124"/>
        <v>54166.666999999994</v>
      </c>
      <c r="GR83" s="220">
        <f t="shared" si="124"/>
        <v>54166.666999999994</v>
      </c>
      <c r="GS83" s="220">
        <f t="shared" si="124"/>
        <v>54166.666999999994</v>
      </c>
      <c r="GT83" s="341">
        <f>SUM(GH83:GS83)</f>
        <v>650000.00400000007</v>
      </c>
      <c r="GU83" s="342"/>
      <c r="GV83" s="343"/>
      <c r="GX83" s="328" t="s">
        <v>345</v>
      </c>
      <c r="GY83" s="329"/>
      <c r="GZ83" s="330"/>
      <c r="HA83" s="220">
        <f>ROUNDUP($CL$72/12,3)</f>
        <v>20000</v>
      </c>
      <c r="HB83" s="220">
        <f t="shared" ref="HB83:HL83" si="125">ROUNDUP($CL$72/12,3)</f>
        <v>20000</v>
      </c>
      <c r="HC83" s="220">
        <f t="shared" si="125"/>
        <v>20000</v>
      </c>
      <c r="HD83" s="220">
        <f t="shared" si="125"/>
        <v>20000</v>
      </c>
      <c r="HE83" s="220">
        <f t="shared" si="125"/>
        <v>20000</v>
      </c>
      <c r="HF83" s="220">
        <f t="shared" si="125"/>
        <v>20000</v>
      </c>
      <c r="HG83" s="220">
        <f t="shared" si="125"/>
        <v>20000</v>
      </c>
      <c r="HH83" s="220">
        <f t="shared" si="125"/>
        <v>20000</v>
      </c>
      <c r="HI83" s="220">
        <f t="shared" si="125"/>
        <v>20000</v>
      </c>
      <c r="HJ83" s="220">
        <f t="shared" si="125"/>
        <v>20000</v>
      </c>
      <c r="HK83" s="220">
        <f t="shared" si="125"/>
        <v>20000</v>
      </c>
      <c r="HL83" s="220">
        <f t="shared" si="125"/>
        <v>20000</v>
      </c>
      <c r="HM83" s="341">
        <f>SUM(HA83:HL83)</f>
        <v>240000</v>
      </c>
      <c r="HN83" s="342"/>
      <c r="HO83" s="343"/>
      <c r="HQ83" s="301" t="s">
        <v>345</v>
      </c>
      <c r="HR83" s="302"/>
      <c r="HS83" s="283"/>
      <c r="HT83" s="283"/>
      <c r="HU83" s="287"/>
      <c r="HV83" s="287"/>
      <c r="HW83" s="276">
        <f>ROUNDUP($CO$72/12,3)</f>
        <v>14166.666999999999</v>
      </c>
      <c r="HX83" s="276">
        <f t="shared" ref="HX83:IH83" si="126">ROUNDUP($CO$72/12,3)</f>
        <v>14166.666999999999</v>
      </c>
      <c r="HY83" s="276">
        <f t="shared" si="126"/>
        <v>14166.666999999999</v>
      </c>
      <c r="HZ83" s="276">
        <f t="shared" si="126"/>
        <v>14166.666999999999</v>
      </c>
      <c r="IA83" s="276">
        <f t="shared" si="126"/>
        <v>14166.666999999999</v>
      </c>
      <c r="IB83" s="276">
        <f t="shared" si="126"/>
        <v>14166.666999999999</v>
      </c>
      <c r="IC83" s="276">
        <f t="shared" si="126"/>
        <v>14166.666999999999</v>
      </c>
      <c r="ID83" s="276">
        <f t="shared" si="126"/>
        <v>14166.666999999999</v>
      </c>
      <c r="IE83" s="276">
        <f t="shared" si="126"/>
        <v>14166.666999999999</v>
      </c>
      <c r="IF83" s="276">
        <f t="shared" si="126"/>
        <v>14166.666999999999</v>
      </c>
      <c r="IG83" s="276">
        <f t="shared" si="126"/>
        <v>14166.666999999999</v>
      </c>
      <c r="IH83" s="276">
        <f t="shared" si="126"/>
        <v>14166.666999999999</v>
      </c>
      <c r="II83" s="315">
        <f>SUM(HW83:IH83)</f>
        <v>170000.00399999996</v>
      </c>
      <c r="IJ83" s="316"/>
      <c r="IK83" s="317"/>
    </row>
    <row r="84" spans="1:245" ht="24" customHeight="1" thickBot="1">
      <c r="A84" s="160"/>
      <c r="B84" s="160"/>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W84" s="144"/>
      <c r="AX84" s="144"/>
      <c r="AY84" s="144"/>
      <c r="AZ84" s="144"/>
      <c r="BA84" s="144"/>
      <c r="BB84" s="144"/>
      <c r="BC84" s="144"/>
      <c r="BD84" s="144"/>
      <c r="BE84" s="144"/>
      <c r="BF84" s="144"/>
      <c r="BG84" s="144"/>
      <c r="BH84" s="144"/>
      <c r="BI84" s="144"/>
      <c r="BJ84" s="144"/>
      <c r="BK84" s="144"/>
      <c r="BL84" s="144"/>
      <c r="BM84" s="144"/>
      <c r="BN84" s="144"/>
      <c r="BO84" s="144"/>
      <c r="BP84" s="144"/>
      <c r="BQ84" s="145"/>
      <c r="BR84" s="145"/>
      <c r="BS84" s="146"/>
      <c r="BT84" s="146"/>
      <c r="BU84" s="146"/>
      <c r="BV84" s="146"/>
      <c r="BW84" s="147"/>
      <c r="BX84" s="147"/>
      <c r="BY84" s="528"/>
      <c r="BZ84" s="528"/>
      <c r="CA84" s="528"/>
      <c r="CB84" s="147"/>
      <c r="CC84" s="147"/>
      <c r="CD84" s="147"/>
      <c r="CE84" s="147"/>
      <c r="CF84" s="147"/>
      <c r="CG84" s="147"/>
      <c r="CH84" s="147"/>
      <c r="CI84" s="147"/>
      <c r="CJ84" s="147"/>
      <c r="CK84" s="147"/>
      <c r="CL84" s="147"/>
      <c r="CM84" s="147"/>
      <c r="CN84" s="147"/>
      <c r="CO84" s="147"/>
      <c r="CP84" s="147"/>
      <c r="CQ84" s="147"/>
      <c r="CR84" s="147"/>
      <c r="CS84" s="147"/>
      <c r="CT84" s="147"/>
      <c r="CU84" s="147"/>
      <c r="CV84" s="147"/>
      <c r="CW84" s="147"/>
      <c r="CX84" s="147"/>
      <c r="CY84" s="147"/>
      <c r="CZ84" s="147"/>
      <c r="DA84" s="147"/>
      <c r="DB84" s="147"/>
      <c r="DC84" s="147"/>
      <c r="DD84" s="148"/>
      <c r="DE84" s="148"/>
      <c r="DF84" s="148"/>
      <c r="DG84" s="148"/>
      <c r="DH84" s="148"/>
      <c r="DI84" s="148"/>
      <c r="DJ84" s="148"/>
      <c r="DK84" s="148"/>
      <c r="DL84" s="148"/>
      <c r="DM84" s="148"/>
      <c r="DN84" s="148"/>
      <c r="DO84" s="148"/>
      <c r="DP84" s="148"/>
      <c r="DQ84" s="148"/>
      <c r="DR84" s="148"/>
      <c r="DS84" s="148"/>
      <c r="DT84" s="148"/>
      <c r="DU84" s="148"/>
      <c r="DV84" s="148"/>
      <c r="DW84" s="148"/>
      <c r="DX84" s="148"/>
      <c r="DY84" s="148"/>
      <c r="DZ84" s="148"/>
      <c r="EA84" s="148"/>
      <c r="EB84" s="148"/>
      <c r="EC84" s="148"/>
      <c r="ED84" s="148"/>
      <c r="EE84" s="148"/>
      <c r="EF84" s="148"/>
      <c r="EG84" s="148"/>
      <c r="EH84" s="148"/>
      <c r="EI84" s="148"/>
      <c r="EJ84" s="148"/>
      <c r="EK84" s="148"/>
      <c r="EL84" s="148"/>
      <c r="EM84" s="148"/>
      <c r="EN84" s="148"/>
      <c r="EO84" s="148"/>
      <c r="EP84" s="148"/>
      <c r="EQ84" s="148"/>
      <c r="ER84" s="148"/>
      <c r="ES84" s="148"/>
      <c r="ET84" s="148"/>
      <c r="EU84" s="148"/>
      <c r="EV84" s="148"/>
      <c r="EW84" s="149"/>
      <c r="EX84" s="149"/>
      <c r="EY84" s="149"/>
      <c r="EZ84" s="149"/>
      <c r="FA84" s="149"/>
      <c r="FB84" s="149"/>
      <c r="FC84" s="149"/>
      <c r="FD84" s="149"/>
      <c r="FE84" s="149"/>
      <c r="FI84" s="659" t="s">
        <v>353</v>
      </c>
      <c r="FJ84" s="660"/>
      <c r="FK84" s="661"/>
      <c r="FL84" s="363" t="s">
        <v>351</v>
      </c>
      <c r="FM84" s="364"/>
      <c r="FN84" s="364"/>
      <c r="FO84" s="420" t="s">
        <v>351</v>
      </c>
      <c r="FP84" s="420"/>
      <c r="FQ84" s="420"/>
      <c r="FR84" s="421" t="s">
        <v>351</v>
      </c>
      <c r="FS84" s="421"/>
      <c r="FT84" s="422"/>
      <c r="FU84" s="662">
        <f ca="1">GT84</f>
        <v>0</v>
      </c>
      <c r="FV84" s="663"/>
      <c r="FW84" s="663"/>
      <c r="FX84" s="664">
        <f ca="1">HM84</f>
        <v>0</v>
      </c>
      <c r="FY84" s="664"/>
      <c r="FZ84" s="664"/>
      <c r="GA84" s="665">
        <f ca="1">II84</f>
        <v>0</v>
      </c>
      <c r="GB84" s="665"/>
      <c r="GC84" s="666"/>
      <c r="GE84" s="328" t="s">
        <v>344</v>
      </c>
      <c r="GF84" s="329"/>
      <c r="GG84" s="330"/>
      <c r="GH84" s="220">
        <f ca="1">IF(GH82&gt;=GH83,GH83,GH82)</f>
        <v>0</v>
      </c>
      <c r="GI84" s="220">
        <f t="shared" ref="GI84:GS84" ca="1" si="127">IF(GI82&gt;=GI83,GI83,GI82)</f>
        <v>0</v>
      </c>
      <c r="GJ84" s="220">
        <f t="shared" ca="1" si="127"/>
        <v>0</v>
      </c>
      <c r="GK84" s="220">
        <f t="shared" ca="1" si="127"/>
        <v>0</v>
      </c>
      <c r="GL84" s="220">
        <f t="shared" ca="1" si="127"/>
        <v>0</v>
      </c>
      <c r="GM84" s="220">
        <f t="shared" ca="1" si="127"/>
        <v>0</v>
      </c>
      <c r="GN84" s="220">
        <f t="shared" ca="1" si="127"/>
        <v>0</v>
      </c>
      <c r="GO84" s="220">
        <f t="shared" ca="1" si="127"/>
        <v>0</v>
      </c>
      <c r="GP84" s="220">
        <f t="shared" ca="1" si="127"/>
        <v>0</v>
      </c>
      <c r="GQ84" s="220">
        <f t="shared" ca="1" si="127"/>
        <v>0</v>
      </c>
      <c r="GR84" s="220">
        <f t="shared" ca="1" si="127"/>
        <v>0</v>
      </c>
      <c r="GS84" s="220">
        <f t="shared" ca="1" si="127"/>
        <v>0</v>
      </c>
      <c r="GT84" s="325">
        <f ca="1">SUM(GH84:GS84)</f>
        <v>0</v>
      </c>
      <c r="GU84" s="326"/>
      <c r="GV84" s="327"/>
      <c r="GX84" s="328" t="s">
        <v>344</v>
      </c>
      <c r="GY84" s="329"/>
      <c r="GZ84" s="330"/>
      <c r="HA84" s="220">
        <f ca="1">IF(HA82&gt;=HA83,HA83,HA82)</f>
        <v>0</v>
      </c>
      <c r="HB84" s="220">
        <f t="shared" ref="HB84" ca="1" si="128">IF(HB82&gt;=HB83,HB83,HB82)</f>
        <v>0</v>
      </c>
      <c r="HC84" s="220">
        <f t="shared" ref="HC84" ca="1" si="129">IF(HC82&gt;=HC83,HC83,HC82)</f>
        <v>0</v>
      </c>
      <c r="HD84" s="220">
        <f t="shared" ref="HD84" ca="1" si="130">IF(HD82&gt;=HD83,HD83,HD82)</f>
        <v>0</v>
      </c>
      <c r="HE84" s="220">
        <f t="shared" ref="HE84" ca="1" si="131">IF(HE82&gt;=HE83,HE83,HE82)</f>
        <v>0</v>
      </c>
      <c r="HF84" s="220">
        <f t="shared" ref="HF84" ca="1" si="132">IF(HF82&gt;=HF83,HF83,HF82)</f>
        <v>0</v>
      </c>
      <c r="HG84" s="220">
        <f t="shared" ref="HG84" ca="1" si="133">IF(HG82&gt;=HG83,HG83,HG82)</f>
        <v>0</v>
      </c>
      <c r="HH84" s="220">
        <f t="shared" ref="HH84" ca="1" si="134">IF(HH82&gt;=HH83,HH83,HH82)</f>
        <v>0</v>
      </c>
      <c r="HI84" s="220">
        <f t="shared" ref="HI84" ca="1" si="135">IF(HI82&gt;=HI83,HI83,HI82)</f>
        <v>0</v>
      </c>
      <c r="HJ84" s="220">
        <f t="shared" ref="HJ84" ca="1" si="136">IF(HJ82&gt;=HJ83,HJ83,HJ82)</f>
        <v>0</v>
      </c>
      <c r="HK84" s="220">
        <f t="shared" ref="HK84" ca="1" si="137">IF(HK82&gt;=HK83,HK83,HK82)</f>
        <v>0</v>
      </c>
      <c r="HL84" s="220">
        <f t="shared" ref="HL84" ca="1" si="138">IF(HL82&gt;=HL83,HL83,HL82)</f>
        <v>0</v>
      </c>
      <c r="HM84" s="325">
        <f ca="1">SUM(HA84:HL84)</f>
        <v>0</v>
      </c>
      <c r="HN84" s="326"/>
      <c r="HO84" s="327"/>
      <c r="HQ84" s="301" t="s">
        <v>344</v>
      </c>
      <c r="HR84" s="302"/>
      <c r="HS84" s="283"/>
      <c r="HT84" s="283"/>
      <c r="HU84" s="287"/>
      <c r="HV84" s="287"/>
      <c r="HW84" s="276">
        <f ca="1">IF(HW82&gt;=HW83,HW83,HW82)</f>
        <v>0</v>
      </c>
      <c r="HX84" s="276">
        <f t="shared" ref="HX84" ca="1" si="139">IF(HX82&gt;=HX83,HX83,HX82)</f>
        <v>0</v>
      </c>
      <c r="HY84" s="276">
        <f t="shared" ref="HY84" ca="1" si="140">IF(HY82&gt;=HY83,HY83,HY82)</f>
        <v>0</v>
      </c>
      <c r="HZ84" s="276">
        <f t="shared" ref="HZ84" ca="1" si="141">IF(HZ82&gt;=HZ83,HZ83,HZ82)</f>
        <v>0</v>
      </c>
      <c r="IA84" s="276">
        <f t="shared" ref="IA84" ca="1" si="142">IF(IA82&gt;=IA83,IA83,IA82)</f>
        <v>0</v>
      </c>
      <c r="IB84" s="276">
        <f t="shared" ref="IB84" ca="1" si="143">IF(IB82&gt;=IB83,IB83,IB82)</f>
        <v>0</v>
      </c>
      <c r="IC84" s="276">
        <f t="shared" ref="IC84" ca="1" si="144">IF(IC82&gt;=IC83,IC83,IC82)</f>
        <v>0</v>
      </c>
      <c r="ID84" s="276">
        <f t="shared" ref="ID84" ca="1" si="145">IF(ID82&gt;=ID83,ID83,ID82)</f>
        <v>0</v>
      </c>
      <c r="IE84" s="276">
        <f t="shared" ref="IE84" ca="1" si="146">IF(IE82&gt;=IE83,IE83,IE82)</f>
        <v>0</v>
      </c>
      <c r="IF84" s="276">
        <f t="shared" ref="IF84" ca="1" si="147">IF(IF82&gt;=IF83,IF83,IF82)</f>
        <v>0</v>
      </c>
      <c r="IG84" s="276">
        <f t="shared" ref="IG84" ca="1" si="148">IF(IG82&gt;=IG83,IG83,IG82)</f>
        <v>0</v>
      </c>
      <c r="IH84" s="276">
        <f t="shared" ref="IH84" ca="1" si="149">IF(IH82&gt;=IH83,IH83,IH82)</f>
        <v>0</v>
      </c>
      <c r="II84" s="303">
        <f ca="1">SUM(HW84:IH84)</f>
        <v>0</v>
      </c>
      <c r="IJ84" s="304"/>
      <c r="IK84" s="305"/>
    </row>
    <row r="85" spans="1:245" ht="30.75" customHeight="1" thickBot="1">
      <c r="A85" s="370" t="s">
        <v>299</v>
      </c>
      <c r="B85" s="371"/>
      <c r="C85" s="371"/>
      <c r="D85" s="371"/>
      <c r="E85" s="371"/>
      <c r="F85" s="371"/>
      <c r="G85" s="371"/>
      <c r="H85" s="371"/>
      <c r="I85" s="371"/>
      <c r="J85" s="371"/>
      <c r="K85" s="371"/>
      <c r="L85" s="371"/>
      <c r="M85" s="371"/>
      <c r="N85" s="371"/>
      <c r="O85" s="371"/>
      <c r="P85" s="371"/>
      <c r="Q85" s="371"/>
      <c r="R85" s="371"/>
      <c r="S85" s="371"/>
      <c r="T85" s="371"/>
      <c r="U85" s="371"/>
      <c r="V85" s="371"/>
      <c r="W85" s="371"/>
      <c r="X85" s="371"/>
      <c r="Y85" s="371"/>
      <c r="Z85" s="371"/>
      <c r="AA85" s="371"/>
      <c r="AB85" s="371"/>
      <c r="AC85" s="371"/>
      <c r="AD85" s="371"/>
      <c r="AE85" s="371"/>
      <c r="AF85" s="371"/>
      <c r="AG85" s="371"/>
      <c r="AH85" s="371"/>
      <c r="AI85" s="371"/>
      <c r="AJ85" s="371"/>
      <c r="AK85" s="371"/>
      <c r="AL85" s="371"/>
      <c r="AM85" s="372"/>
      <c r="AW85" s="144"/>
      <c r="AX85" s="144"/>
      <c r="AY85" s="144"/>
      <c r="AZ85" s="144"/>
      <c r="BA85" s="144"/>
      <c r="BB85" s="144"/>
      <c r="BC85" s="144"/>
      <c r="BD85" s="144"/>
      <c r="BE85" s="144"/>
      <c r="BF85" s="144"/>
      <c r="BG85" s="144"/>
      <c r="BH85" s="144"/>
      <c r="BI85" s="144"/>
      <c r="BJ85" s="144"/>
      <c r="BK85" s="144"/>
      <c r="BL85" s="144"/>
      <c r="BM85" s="144"/>
      <c r="BN85" s="144"/>
      <c r="BO85" s="144"/>
      <c r="BP85" s="144"/>
      <c r="BQ85" s="145"/>
      <c r="BR85" s="145"/>
      <c r="BS85" s="146"/>
      <c r="BT85" s="146"/>
      <c r="BU85" s="146"/>
      <c r="BV85" s="146"/>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8"/>
      <c r="DE85" s="148"/>
      <c r="DF85" s="148"/>
      <c r="DG85" s="148"/>
      <c r="DH85" s="148"/>
      <c r="DI85" s="148"/>
      <c r="DJ85" s="148"/>
      <c r="DK85" s="148"/>
      <c r="DL85" s="148"/>
      <c r="DM85" s="148"/>
      <c r="DN85" s="148"/>
      <c r="DO85" s="148"/>
      <c r="DP85" s="148"/>
      <c r="DQ85" s="148"/>
      <c r="DR85" s="148"/>
      <c r="DS85" s="148"/>
      <c r="DT85" s="148"/>
      <c r="DU85" s="148"/>
      <c r="DV85" s="148"/>
      <c r="DW85" s="148"/>
      <c r="DX85" s="148"/>
      <c r="DY85" s="148"/>
      <c r="DZ85" s="148"/>
      <c r="EA85" s="148"/>
      <c r="EB85" s="148"/>
      <c r="EC85" s="148"/>
      <c r="ED85" s="148"/>
      <c r="EE85" s="148"/>
      <c r="EF85" s="148"/>
      <c r="EG85" s="148"/>
      <c r="EH85" s="148"/>
      <c r="EI85" s="148"/>
      <c r="EJ85" s="148"/>
      <c r="EK85" s="148"/>
      <c r="EL85" s="148"/>
      <c r="EM85" s="148"/>
      <c r="EN85" s="148"/>
      <c r="EO85" s="148"/>
      <c r="EP85" s="148"/>
      <c r="EQ85" s="148"/>
      <c r="ER85" s="148"/>
      <c r="ES85" s="148"/>
      <c r="ET85" s="148"/>
      <c r="EU85" s="148"/>
      <c r="EV85" s="148"/>
      <c r="EW85" s="149"/>
      <c r="EX85" s="149"/>
      <c r="EY85" s="149"/>
      <c r="EZ85" s="149"/>
      <c r="FA85" s="149"/>
      <c r="FB85" s="149"/>
      <c r="FC85" s="149"/>
      <c r="FD85" s="149"/>
      <c r="FE85" s="149"/>
      <c r="FI85" s="667" t="s">
        <v>253</v>
      </c>
      <c r="FJ85" s="388"/>
      <c r="FK85" s="668"/>
      <c r="FL85" s="669">
        <f ca="1">IF(FL83="〇",CI72,ROUNDDOWN(FL82,-2))</f>
        <v>0</v>
      </c>
      <c r="FM85" s="368"/>
      <c r="FN85" s="368"/>
      <c r="FO85" s="670">
        <f ca="1">IF(FO83="〇",CL72,ROUNDDOWN(FO82,-2))</f>
        <v>0</v>
      </c>
      <c r="FP85" s="670"/>
      <c r="FQ85" s="670"/>
      <c r="FR85" s="671">
        <f ca="1">IF(FR83="〇",CO72,ROUNDDOWN(FR82,-2))</f>
        <v>0</v>
      </c>
      <c r="FS85" s="671"/>
      <c r="FT85" s="672"/>
      <c r="FU85" s="367">
        <f ca="1">IF(FU83="〇",ROUNDDOWN(FU84,-2),ROUNDDOWN(FU82,-2))</f>
        <v>0</v>
      </c>
      <c r="FV85" s="368"/>
      <c r="FW85" s="368"/>
      <c r="FX85" s="670">
        <f ca="1">IF(FX83="〇",ROUNDDOWN(FX84,-2),ROUNDDOWN(FX82,-2))</f>
        <v>0</v>
      </c>
      <c r="FY85" s="670"/>
      <c r="FZ85" s="670"/>
      <c r="GA85" s="671">
        <f t="shared" ref="GA85" ca="1" si="150">IF(GA83="〇",ROUNDDOWN(GA84,-2),ROUNDDOWN(GA82,-2))</f>
        <v>0</v>
      </c>
      <c r="GB85" s="671"/>
      <c r="GC85" s="673"/>
      <c r="GE85" s="331" t="s">
        <v>350</v>
      </c>
      <c r="GF85" s="331"/>
      <c r="GG85" s="331"/>
      <c r="GH85" s="254" t="str">
        <f ca="1">IF(GH82&gt;=GH83,"〇","")</f>
        <v/>
      </c>
      <c r="GI85" s="254" t="str">
        <f t="shared" ref="GI85:GS85" ca="1" si="151">IF(GI82&gt;=GI83,"〇","")</f>
        <v/>
      </c>
      <c r="GJ85" s="254" t="str">
        <f t="shared" ca="1" si="151"/>
        <v/>
      </c>
      <c r="GK85" s="254" t="str">
        <f t="shared" ca="1" si="151"/>
        <v/>
      </c>
      <c r="GL85" s="254" t="str">
        <f t="shared" ca="1" si="151"/>
        <v/>
      </c>
      <c r="GM85" s="254" t="str">
        <f t="shared" ca="1" si="151"/>
        <v/>
      </c>
      <c r="GN85" s="254" t="str">
        <f t="shared" ca="1" si="151"/>
        <v/>
      </c>
      <c r="GO85" s="254" t="str">
        <f t="shared" ca="1" si="151"/>
        <v/>
      </c>
      <c r="GP85" s="254" t="str">
        <f t="shared" ca="1" si="151"/>
        <v/>
      </c>
      <c r="GQ85" s="254" t="str">
        <f t="shared" ca="1" si="151"/>
        <v/>
      </c>
      <c r="GR85" s="254" t="str">
        <f t="shared" ca="1" si="151"/>
        <v/>
      </c>
      <c r="GS85" s="254" t="str">
        <f t="shared" ca="1" si="151"/>
        <v/>
      </c>
      <c r="GT85" s="254">
        <f ca="1">COUNTIF(GH85:GS85,"〇")</f>
        <v>0</v>
      </c>
      <c r="GU85" s="254"/>
      <c r="GV85" s="254"/>
      <c r="GX85" s="331" t="s">
        <v>350</v>
      </c>
      <c r="GY85" s="331"/>
      <c r="GZ85" s="331"/>
      <c r="HA85" s="254" t="str">
        <f ca="1">IF(HA82&gt;=HA83,"〇","")</f>
        <v/>
      </c>
      <c r="HB85" s="254" t="str">
        <f t="shared" ref="HB85:HL85" ca="1" si="152">IF(HB82&gt;=HB83,"〇","")</f>
        <v/>
      </c>
      <c r="HC85" s="254" t="str">
        <f t="shared" ca="1" si="152"/>
        <v/>
      </c>
      <c r="HD85" s="254" t="str">
        <f t="shared" ca="1" si="152"/>
        <v/>
      </c>
      <c r="HE85" s="254" t="str">
        <f t="shared" ca="1" si="152"/>
        <v/>
      </c>
      <c r="HF85" s="254" t="str">
        <f t="shared" ca="1" si="152"/>
        <v/>
      </c>
      <c r="HG85" s="254" t="str">
        <f t="shared" ca="1" si="152"/>
        <v/>
      </c>
      <c r="HH85" s="254" t="str">
        <f t="shared" ca="1" si="152"/>
        <v/>
      </c>
      <c r="HI85" s="254" t="str">
        <f t="shared" ca="1" si="152"/>
        <v/>
      </c>
      <c r="HJ85" s="254" t="str">
        <f t="shared" ca="1" si="152"/>
        <v/>
      </c>
      <c r="HK85" s="254" t="str">
        <f t="shared" ca="1" si="152"/>
        <v/>
      </c>
      <c r="HL85" s="254" t="str">
        <f t="shared" ca="1" si="152"/>
        <v/>
      </c>
      <c r="HM85" s="254">
        <f ca="1">COUNTIF(HA85:HL85,"〇")</f>
        <v>0</v>
      </c>
      <c r="HN85" s="254"/>
      <c r="HO85" s="254"/>
      <c r="HQ85" s="331" t="s">
        <v>350</v>
      </c>
      <c r="HR85" s="331"/>
      <c r="HS85" s="331"/>
      <c r="HT85" s="331"/>
      <c r="HU85" s="286"/>
      <c r="HV85" s="286"/>
      <c r="HW85" s="254" t="str">
        <f t="shared" ref="HW85:IH85" ca="1" si="153">IF(HW82&gt;=HW83,"〇","")</f>
        <v/>
      </c>
      <c r="HX85" s="254" t="str">
        <f t="shared" ca="1" si="153"/>
        <v/>
      </c>
      <c r="HY85" s="254" t="str">
        <f t="shared" ca="1" si="153"/>
        <v/>
      </c>
      <c r="HZ85" s="254" t="str">
        <f t="shared" ca="1" si="153"/>
        <v/>
      </c>
      <c r="IA85" s="254" t="str">
        <f t="shared" ca="1" si="153"/>
        <v/>
      </c>
      <c r="IB85" s="254" t="str">
        <f t="shared" ca="1" si="153"/>
        <v/>
      </c>
      <c r="IC85" s="254" t="str">
        <f t="shared" ca="1" si="153"/>
        <v/>
      </c>
      <c r="ID85" s="254" t="str">
        <f t="shared" ca="1" si="153"/>
        <v/>
      </c>
      <c r="IE85" s="254" t="str">
        <f t="shared" ca="1" si="153"/>
        <v/>
      </c>
      <c r="IF85" s="254" t="str">
        <f t="shared" ca="1" si="153"/>
        <v/>
      </c>
      <c r="IG85" s="254" t="str">
        <f t="shared" ca="1" si="153"/>
        <v/>
      </c>
      <c r="IH85" s="254" t="str">
        <f t="shared" ca="1" si="153"/>
        <v/>
      </c>
      <c r="II85" s="254">
        <f ca="1">COUNTIF(HW85:IH85,"〇")</f>
        <v>0</v>
      </c>
      <c r="IJ85" s="254"/>
      <c r="IK85" s="254"/>
    </row>
    <row r="86" spans="1:245" ht="12" customHeight="1">
      <c r="A86" s="211"/>
      <c r="B86" s="212"/>
      <c r="C86" s="212"/>
      <c r="D86" s="212"/>
      <c r="E86" s="212"/>
      <c r="F86" s="212"/>
      <c r="G86" s="212"/>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2"/>
      <c r="AL86" s="212"/>
      <c r="AM86" s="213"/>
      <c r="AW86" s="144"/>
      <c r="AX86" s="144"/>
      <c r="AY86" s="144"/>
      <c r="AZ86" s="144"/>
      <c r="BA86" s="144"/>
      <c r="BB86" s="144"/>
      <c r="BC86" s="144"/>
      <c r="BD86" s="144"/>
      <c r="BE86" s="144"/>
      <c r="BF86" s="144"/>
      <c r="BG86" s="144"/>
      <c r="BH86" s="144"/>
      <c r="BI86" s="144"/>
      <c r="BJ86" s="144"/>
      <c r="BK86" s="144"/>
      <c r="BL86" s="144"/>
      <c r="BM86" s="144"/>
      <c r="BN86" s="144"/>
      <c r="BO86" s="144"/>
      <c r="BP86" s="144"/>
      <c r="BQ86" s="145"/>
      <c r="BR86" s="145"/>
      <c r="BS86" s="146"/>
      <c r="BT86" s="146"/>
      <c r="BU86" s="146"/>
      <c r="BV86" s="146"/>
      <c r="BW86" s="147"/>
      <c r="BX86" s="147"/>
      <c r="BY86" s="147"/>
      <c r="BZ86" s="147"/>
      <c r="CA86" s="147"/>
      <c r="CB86" s="147"/>
      <c r="CC86" s="147"/>
      <c r="CD86" s="147"/>
      <c r="CE86" s="147"/>
      <c r="CF86" s="147"/>
      <c r="CG86" s="147"/>
      <c r="CH86" s="147"/>
      <c r="CI86" s="147"/>
      <c r="CJ86" s="147"/>
      <c r="CK86" s="147"/>
      <c r="CL86" s="147"/>
      <c r="CM86" s="147"/>
      <c r="CN86" s="147"/>
      <c r="CO86" s="147"/>
      <c r="CP86" s="147"/>
      <c r="CQ86" s="147"/>
      <c r="CR86" s="147"/>
      <c r="CS86" s="147"/>
      <c r="CT86" s="147"/>
      <c r="CU86" s="147"/>
      <c r="CV86" s="147"/>
      <c r="CW86" s="147"/>
      <c r="CX86" s="147"/>
      <c r="CY86" s="147"/>
      <c r="CZ86" s="147"/>
      <c r="DA86" s="147"/>
      <c r="DB86" s="147"/>
      <c r="DC86" s="147"/>
      <c r="DD86" s="148"/>
      <c r="DE86" s="148"/>
      <c r="DF86" s="148"/>
      <c r="DG86" s="148"/>
      <c r="DH86" s="148"/>
      <c r="DI86" s="148"/>
      <c r="DJ86" s="148"/>
      <c r="DK86" s="148"/>
      <c r="DL86" s="148"/>
      <c r="DM86" s="148"/>
      <c r="DN86" s="148"/>
      <c r="DO86" s="148"/>
      <c r="DP86" s="148"/>
      <c r="DQ86" s="148"/>
      <c r="DR86" s="148"/>
      <c r="DS86" s="148"/>
      <c r="DT86" s="148"/>
      <c r="DU86" s="148"/>
      <c r="DV86" s="148"/>
      <c r="DW86" s="148"/>
      <c r="DX86" s="148"/>
      <c r="DY86" s="148"/>
      <c r="DZ86" s="148"/>
      <c r="EA86" s="148"/>
      <c r="EB86" s="148"/>
      <c r="EC86" s="148"/>
      <c r="ED86" s="148"/>
      <c r="EE86" s="148"/>
      <c r="EF86" s="148"/>
      <c r="EG86" s="148"/>
      <c r="EH86" s="148"/>
      <c r="EI86" s="148"/>
      <c r="EJ86" s="148"/>
      <c r="EK86" s="148"/>
      <c r="EL86" s="148"/>
      <c r="EM86" s="148"/>
      <c r="EN86" s="148"/>
      <c r="EO86" s="148"/>
      <c r="EP86" s="148"/>
      <c r="EQ86" s="148"/>
      <c r="ER86" s="148"/>
      <c r="ES86" s="148"/>
      <c r="ET86" s="148"/>
      <c r="EU86" s="148"/>
      <c r="EV86" s="148"/>
      <c r="EW86" s="149"/>
      <c r="EX86" s="149"/>
      <c r="EY86" s="149"/>
      <c r="EZ86" s="149"/>
      <c r="FA86" s="149"/>
      <c r="FB86" s="149"/>
      <c r="FC86" s="149"/>
      <c r="FD86" s="149"/>
      <c r="FE86" s="149"/>
    </row>
    <row r="87" spans="1:245" ht="27.75" customHeight="1">
      <c r="A87" s="158"/>
      <c r="B87" s="170" t="str">
        <f ca="1">VLOOKUP(AZ82,テーブル!M2:N4,2,FALSE)</f>
        <v>あなたの国保税の課税見込額等については次のとおりです。</v>
      </c>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0"/>
      <c r="AK87" s="160"/>
      <c r="AL87" s="160"/>
      <c r="AM87" s="161"/>
      <c r="AO87" s="154"/>
      <c r="AP87" s="154"/>
      <c r="AQ87" s="154"/>
      <c r="AR87" s="154"/>
      <c r="BQ87" s="144"/>
      <c r="BR87" s="144"/>
      <c r="BS87" s="144"/>
      <c r="BT87" s="144"/>
      <c r="BU87" s="144"/>
      <c r="BV87" s="144"/>
      <c r="BW87" s="144"/>
      <c r="BX87" s="144"/>
      <c r="BY87" s="144"/>
      <c r="BZ87" s="144"/>
      <c r="CA87" s="144"/>
      <c r="CB87" s="144"/>
      <c r="CC87" s="150"/>
      <c r="CD87" s="144"/>
      <c r="CE87" s="144"/>
      <c r="CF87" s="150"/>
      <c r="CG87" s="144"/>
      <c r="CH87" s="144"/>
      <c r="CI87" s="150"/>
      <c r="CJ87" s="144"/>
      <c r="CK87" s="144"/>
      <c r="CL87" s="151"/>
      <c r="CM87" s="151"/>
      <c r="CN87" s="151"/>
      <c r="CO87" s="151"/>
      <c r="CP87" s="151"/>
      <c r="CQ87" s="151"/>
      <c r="CR87" s="151"/>
      <c r="CS87" s="151"/>
      <c r="CT87" s="151"/>
      <c r="CU87" s="151"/>
      <c r="CV87" s="151"/>
      <c r="CW87" s="151"/>
      <c r="CX87" s="151"/>
      <c r="CY87" s="151"/>
      <c r="CZ87" s="151"/>
      <c r="DA87" s="151"/>
      <c r="DB87" s="151"/>
      <c r="DC87" s="151"/>
    </row>
    <row r="88" spans="1:245" ht="25.5" customHeight="1">
      <c r="A88" s="158"/>
      <c r="B88" s="170"/>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c r="AF88" s="160"/>
      <c r="AG88" s="160"/>
      <c r="AH88" s="160"/>
      <c r="AI88" s="160"/>
      <c r="AJ88" s="160"/>
      <c r="AK88" s="160"/>
      <c r="AL88" s="160"/>
      <c r="AM88" s="161"/>
      <c r="AO88" s="154"/>
      <c r="AP88" s="154"/>
      <c r="AQ88" s="154"/>
      <c r="AR88" s="154"/>
      <c r="BZ88" s="152"/>
      <c r="CA88" s="152"/>
      <c r="CB88" s="152"/>
      <c r="CC88" s="152"/>
      <c r="CD88" s="152"/>
      <c r="CE88" s="152"/>
      <c r="CR88" s="152"/>
      <c r="CS88" s="152"/>
      <c r="CT88" s="152"/>
    </row>
    <row r="89" spans="1:245" ht="33">
      <c r="A89" s="158"/>
      <c r="B89" s="170" t="s">
        <v>258</v>
      </c>
      <c r="C89" s="160"/>
      <c r="D89" s="160"/>
      <c r="E89" s="160"/>
      <c r="F89" s="160"/>
      <c r="G89" s="160"/>
      <c r="H89" s="160"/>
      <c r="I89" s="160"/>
      <c r="J89" s="160"/>
      <c r="K89" s="160"/>
      <c r="L89" s="160"/>
      <c r="M89" s="160"/>
      <c r="N89" s="160"/>
      <c r="O89" s="160"/>
      <c r="P89" s="160"/>
      <c r="Q89" s="160"/>
      <c r="R89" s="160"/>
      <c r="S89" s="160"/>
      <c r="T89" s="160"/>
      <c r="U89" s="160"/>
      <c r="V89" s="160"/>
      <c r="W89" s="182" t="str">
        <f ca="1">IF(AW82&gt;0,"","（計算内訳） ※１年間分")</f>
        <v>（計算内訳） ※１年間分</v>
      </c>
      <c r="X89" s="160"/>
      <c r="Y89" s="160"/>
      <c r="Z89" s="160"/>
      <c r="AA89" s="175"/>
      <c r="AB89" s="175"/>
      <c r="AC89" s="175"/>
      <c r="AD89" s="175"/>
      <c r="AE89" s="176"/>
      <c r="AF89" s="176"/>
      <c r="AG89" s="176"/>
      <c r="AH89" s="176"/>
      <c r="AI89" s="175"/>
      <c r="AJ89" s="175"/>
      <c r="AK89" s="175"/>
      <c r="AL89" s="175"/>
      <c r="AM89" s="161"/>
      <c r="AO89" s="154"/>
      <c r="AP89" s="154"/>
      <c r="AQ89" s="154"/>
      <c r="AR89" s="154"/>
    </row>
    <row r="90" spans="1:245" ht="12" customHeight="1" thickBot="1">
      <c r="A90" s="158"/>
      <c r="B90" s="160"/>
      <c r="C90" s="160"/>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77"/>
      <c r="AB90" s="177"/>
      <c r="AC90" s="177"/>
      <c r="AD90" s="177"/>
      <c r="AE90" s="177"/>
      <c r="AF90" s="177"/>
      <c r="AG90" s="177"/>
      <c r="AH90" s="177"/>
      <c r="AI90" s="178"/>
      <c r="AJ90" s="178"/>
      <c r="AK90" s="178"/>
      <c r="AL90" s="178"/>
      <c r="AM90" s="161"/>
    </row>
    <row r="91" spans="1:245">
      <c r="A91" s="158"/>
      <c r="B91" s="160"/>
      <c r="C91" s="546" t="s">
        <v>21</v>
      </c>
      <c r="D91" s="547"/>
      <c r="E91" s="547"/>
      <c r="F91" s="547"/>
      <c r="G91" s="547"/>
      <c r="H91" s="547"/>
      <c r="I91" s="547"/>
      <c r="J91" s="547"/>
      <c r="K91" s="547"/>
      <c r="L91" s="547"/>
      <c r="M91" s="547"/>
      <c r="N91" s="546" t="s">
        <v>24</v>
      </c>
      <c r="O91" s="547"/>
      <c r="P91" s="547"/>
      <c r="Q91" s="547"/>
      <c r="R91" s="547"/>
      <c r="S91" s="547"/>
      <c r="T91" s="547"/>
      <c r="U91" s="548"/>
      <c r="V91" s="153"/>
      <c r="W91" s="647" t="str">
        <f ca="1">IF(AW82&gt;0,"","医療保険分")</f>
        <v>医療保険分</v>
      </c>
      <c r="X91" s="647"/>
      <c r="Y91" s="647"/>
      <c r="Z91" s="647"/>
      <c r="AA91" s="647"/>
      <c r="AB91" s="648" t="str">
        <f ca="1">IF(AW82&gt;0,"","・・・")</f>
        <v>・・・</v>
      </c>
      <c r="AC91" s="648"/>
      <c r="AD91" s="648"/>
      <c r="AE91" s="339" t="str">
        <f ca="1">IF(AH91&lt;CI72,"","（限度額）")</f>
        <v/>
      </c>
      <c r="AF91" s="339"/>
      <c r="AG91" s="339"/>
      <c r="AH91" s="369">
        <f ca="1">IF(AW82&gt;0,"",FL85)</f>
        <v>0</v>
      </c>
      <c r="AI91" s="369"/>
      <c r="AJ91" s="369"/>
      <c r="AK91" s="181" t="str">
        <f ca="1">IF(AW82&gt;0,"","円")</f>
        <v>円</v>
      </c>
      <c r="AL91" s="178"/>
      <c r="AM91" s="161"/>
    </row>
    <row r="92" spans="1:245">
      <c r="A92" s="158"/>
      <c r="B92" s="160"/>
      <c r="C92" s="549"/>
      <c r="D92" s="550"/>
      <c r="E92" s="550"/>
      <c r="F92" s="550"/>
      <c r="G92" s="550"/>
      <c r="H92" s="550"/>
      <c r="I92" s="550"/>
      <c r="J92" s="550"/>
      <c r="K92" s="550"/>
      <c r="L92" s="550"/>
      <c r="M92" s="550"/>
      <c r="N92" s="549"/>
      <c r="O92" s="550"/>
      <c r="P92" s="550"/>
      <c r="Q92" s="550"/>
      <c r="R92" s="550"/>
      <c r="S92" s="550"/>
      <c r="T92" s="550"/>
      <c r="U92" s="551"/>
      <c r="V92" s="154"/>
      <c r="AB92" s="154"/>
      <c r="AC92" s="154"/>
      <c r="AD92" s="154"/>
      <c r="AE92" s="154"/>
      <c r="AF92" s="154"/>
      <c r="AG92" s="154"/>
      <c r="AH92" s="154"/>
      <c r="AI92" s="154"/>
      <c r="AJ92" s="154"/>
      <c r="AK92" s="154"/>
      <c r="AL92" s="154"/>
      <c r="AM92" s="161"/>
    </row>
    <row r="93" spans="1:245">
      <c r="A93" s="158"/>
      <c r="B93" s="160"/>
      <c r="C93" s="655" t="s">
        <v>334</v>
      </c>
      <c r="D93" s="656"/>
      <c r="E93" s="656"/>
      <c r="F93" s="656"/>
      <c r="G93" s="656"/>
      <c r="H93" s="656"/>
      <c r="I93" s="518" t="s">
        <v>335</v>
      </c>
      <c r="J93" s="518"/>
      <c r="K93" s="518"/>
      <c r="L93" s="518"/>
      <c r="M93" s="519"/>
      <c r="N93" s="552">
        <f ca="1">IF(O62="",IF(AW82&gt;0,"試算できません",CC72),"試算できません")</f>
        <v>0</v>
      </c>
      <c r="O93" s="553"/>
      <c r="P93" s="553"/>
      <c r="Q93" s="553"/>
      <c r="R93" s="553"/>
      <c r="S93" s="553"/>
      <c r="T93" s="553"/>
      <c r="U93" s="554"/>
      <c r="V93" s="154"/>
      <c r="W93" s="648" t="str">
        <f ca="1">IF(AW82&gt;0,"","後期高齢者支援金等分")</f>
        <v>後期高齢者支援金等分</v>
      </c>
      <c r="X93" s="648"/>
      <c r="Y93" s="648"/>
      <c r="Z93" s="648"/>
      <c r="AA93" s="648"/>
      <c r="AB93" s="339" t="str">
        <f ca="1">IF(AW82&gt;0,"","・・・")</f>
        <v>・・・</v>
      </c>
      <c r="AC93" s="339"/>
      <c r="AD93" s="339"/>
      <c r="AE93" s="339" t="str">
        <f ca="1">IF(AH93&lt;CL72,"","（限度額）")</f>
        <v/>
      </c>
      <c r="AF93" s="339"/>
      <c r="AG93" s="339"/>
      <c r="AH93" s="369">
        <f ca="1">IF(AW82&gt;0,"",FO85)</f>
        <v>0</v>
      </c>
      <c r="AI93" s="369"/>
      <c r="AJ93" s="369"/>
      <c r="AK93" s="180" t="str">
        <f ca="1">IF(AW82&gt;0,"","円")</f>
        <v>円</v>
      </c>
      <c r="AL93" s="154"/>
      <c r="AM93" s="161"/>
    </row>
    <row r="94" spans="1:245">
      <c r="A94" s="158"/>
      <c r="B94" s="160"/>
      <c r="C94" s="657"/>
      <c r="D94" s="658"/>
      <c r="E94" s="658"/>
      <c r="F94" s="658"/>
      <c r="G94" s="658"/>
      <c r="H94" s="658"/>
      <c r="I94" s="520"/>
      <c r="J94" s="520"/>
      <c r="K94" s="520"/>
      <c r="L94" s="520"/>
      <c r="M94" s="521"/>
      <c r="N94" s="555"/>
      <c r="O94" s="556"/>
      <c r="P94" s="556"/>
      <c r="Q94" s="556"/>
      <c r="R94" s="556"/>
      <c r="S94" s="556"/>
      <c r="T94" s="556"/>
      <c r="U94" s="557"/>
      <c r="V94" s="154"/>
      <c r="AB94" s="154"/>
      <c r="AC94" s="154"/>
      <c r="AD94" s="154"/>
      <c r="AE94" s="154"/>
      <c r="AF94" s="154"/>
      <c r="AG94" s="154"/>
      <c r="AH94" s="154"/>
      <c r="AI94" s="154"/>
      <c r="AJ94" s="154"/>
      <c r="AK94" s="154"/>
      <c r="AL94" s="154"/>
      <c r="AM94" s="161"/>
    </row>
    <row r="95" spans="1:245">
      <c r="A95" s="158"/>
      <c r="B95" s="160"/>
      <c r="C95" s="375" t="str">
        <f>H62&amp;"月から３月まで"</f>
        <v>4月から３月まで</v>
      </c>
      <c r="D95" s="376"/>
      <c r="E95" s="376"/>
      <c r="F95" s="376"/>
      <c r="G95" s="376"/>
      <c r="H95" s="376"/>
      <c r="I95" s="379" t="s">
        <v>336</v>
      </c>
      <c r="J95" s="379"/>
      <c r="K95" s="379"/>
      <c r="L95" s="379"/>
      <c r="M95" s="380"/>
      <c r="N95" s="558">
        <f ca="1">IF(O62="",IF(AW82&gt;0,"試算できません",CF72),"試算できません")</f>
        <v>0</v>
      </c>
      <c r="O95" s="559"/>
      <c r="P95" s="559"/>
      <c r="Q95" s="559"/>
      <c r="R95" s="559"/>
      <c r="S95" s="559"/>
      <c r="T95" s="559"/>
      <c r="U95" s="560"/>
      <c r="V95" s="154"/>
      <c r="W95" s="649" t="str">
        <f ca="1">IF(AW82&gt;0,"","介護保険分")</f>
        <v>介護保険分</v>
      </c>
      <c r="X95" s="649"/>
      <c r="Y95" s="649"/>
      <c r="Z95" s="649"/>
      <c r="AA95" s="649"/>
      <c r="AB95" s="339" t="str">
        <f ca="1">IF(AW82&gt;0,"","・・・")</f>
        <v>・・・</v>
      </c>
      <c r="AC95" s="339"/>
      <c r="AD95" s="339"/>
      <c r="AE95" s="339" t="str">
        <f ca="1">IF(AH95&lt;CO72,"","（限度額）")</f>
        <v/>
      </c>
      <c r="AF95" s="339"/>
      <c r="AG95" s="339"/>
      <c r="AH95" s="369">
        <f ca="1">IF(AW82&gt;0,"",FR85)</f>
        <v>0</v>
      </c>
      <c r="AI95" s="369"/>
      <c r="AJ95" s="369"/>
      <c r="AK95" s="179" t="str">
        <f ca="1">IF(AW82&gt;0,"","円")</f>
        <v>円</v>
      </c>
      <c r="AL95" s="160"/>
      <c r="AM95" s="161"/>
    </row>
    <row r="96" spans="1:245">
      <c r="A96" s="158"/>
      <c r="B96" s="160"/>
      <c r="C96" s="377"/>
      <c r="D96" s="378"/>
      <c r="E96" s="378"/>
      <c r="F96" s="378"/>
      <c r="G96" s="378"/>
      <c r="H96" s="378"/>
      <c r="I96" s="381"/>
      <c r="J96" s="381"/>
      <c r="K96" s="381"/>
      <c r="L96" s="381"/>
      <c r="M96" s="382"/>
      <c r="N96" s="561"/>
      <c r="O96" s="562"/>
      <c r="P96" s="562"/>
      <c r="Q96" s="562"/>
      <c r="R96" s="562"/>
      <c r="S96" s="562"/>
      <c r="T96" s="562"/>
      <c r="U96" s="563"/>
      <c r="V96" s="154"/>
      <c r="W96" s="201" t="str">
        <f ca="1">IF(AW82&gt;0,"","※介護保険分は40歳～65未満の加入者のみ課税されます。")</f>
        <v>※介護保険分は40歳～65未満の加入者のみ課税されます。</v>
      </c>
      <c r="AB96" s="154"/>
      <c r="AC96" s="154"/>
      <c r="AD96" s="154"/>
      <c r="AE96" s="154"/>
      <c r="AF96" s="154"/>
      <c r="AG96" s="154"/>
      <c r="AH96" s="154"/>
      <c r="AI96" s="154"/>
      <c r="AJ96" s="154"/>
      <c r="AK96" s="154"/>
      <c r="AL96" s="154"/>
      <c r="AM96" s="161"/>
    </row>
    <row r="97" spans="1:98">
      <c r="A97" s="158"/>
      <c r="B97" s="160"/>
      <c r="C97" s="411" t="s">
        <v>316</v>
      </c>
      <c r="D97" s="412"/>
      <c r="E97" s="412"/>
      <c r="F97" s="412"/>
      <c r="G97" s="412"/>
      <c r="H97" s="412"/>
      <c r="I97" s="407" t="s">
        <v>248</v>
      </c>
      <c r="J97" s="407"/>
      <c r="K97" s="407"/>
      <c r="L97" s="407"/>
      <c r="M97" s="408"/>
      <c r="N97" s="530">
        <f ca="1">IF(O62="",IF(AW82&gt;0,"試算できません",ROUNDUP(N93/12,-2)),"試算できません")</f>
        <v>0</v>
      </c>
      <c r="O97" s="531"/>
      <c r="P97" s="531"/>
      <c r="Q97" s="531"/>
      <c r="R97" s="531"/>
      <c r="S97" s="531"/>
      <c r="T97" s="531"/>
      <c r="U97" s="532"/>
      <c r="V97" s="154"/>
      <c r="W97" s="154"/>
      <c r="X97" s="154"/>
      <c r="Y97" s="154"/>
      <c r="Z97" s="154"/>
      <c r="AA97" s="154"/>
      <c r="AB97" s="154"/>
      <c r="AC97" s="154"/>
      <c r="AD97" s="160"/>
      <c r="AE97" s="160"/>
      <c r="AF97" s="160"/>
      <c r="AG97" s="160"/>
      <c r="AH97" s="160"/>
      <c r="AI97" s="160"/>
      <c r="AJ97" s="160"/>
      <c r="AK97" s="160"/>
      <c r="AL97" s="160"/>
      <c r="AM97" s="161"/>
    </row>
    <row r="98" spans="1:98" ht="24.75" thickBot="1">
      <c r="A98" s="158"/>
      <c r="B98" s="160"/>
      <c r="C98" s="413"/>
      <c r="D98" s="414"/>
      <c r="E98" s="414"/>
      <c r="F98" s="414"/>
      <c r="G98" s="414"/>
      <c r="H98" s="414"/>
      <c r="I98" s="409"/>
      <c r="J98" s="409"/>
      <c r="K98" s="409"/>
      <c r="L98" s="409"/>
      <c r="M98" s="410"/>
      <c r="N98" s="533"/>
      <c r="O98" s="534"/>
      <c r="P98" s="534"/>
      <c r="Q98" s="534"/>
      <c r="R98" s="534"/>
      <c r="S98" s="534"/>
      <c r="T98" s="534"/>
      <c r="U98" s="535"/>
      <c r="V98" s="154"/>
      <c r="W98" s="154"/>
      <c r="X98" s="154"/>
      <c r="Y98" s="154"/>
      <c r="Z98" s="154"/>
      <c r="AA98" s="154"/>
      <c r="AB98" s="154"/>
      <c r="AC98" s="154"/>
      <c r="AD98" s="160"/>
      <c r="AE98" s="160"/>
      <c r="AF98" s="160"/>
      <c r="AG98" s="160"/>
      <c r="AH98" s="160"/>
      <c r="AI98" s="160"/>
      <c r="AJ98" s="160"/>
      <c r="AK98" s="160"/>
      <c r="AL98" s="160"/>
      <c r="AM98" s="161"/>
    </row>
    <row r="99" spans="1:98" ht="39.75" customHeight="1">
      <c r="A99" s="158"/>
      <c r="B99" s="160"/>
      <c r="C99" s="365" t="s">
        <v>338</v>
      </c>
      <c r="D99" s="365"/>
      <c r="E99" s="365"/>
      <c r="F99" s="365"/>
      <c r="G99" s="365"/>
      <c r="H99" s="365"/>
      <c r="I99" s="365"/>
      <c r="J99" s="365"/>
      <c r="K99" s="365"/>
      <c r="L99" s="365"/>
      <c r="M99" s="365"/>
      <c r="N99" s="365"/>
      <c r="O99" s="365"/>
      <c r="P99" s="365"/>
      <c r="Q99" s="365"/>
      <c r="R99" s="365"/>
      <c r="S99" s="365"/>
      <c r="T99" s="365"/>
      <c r="U99" s="365"/>
      <c r="V99" s="365"/>
      <c r="W99" s="365"/>
      <c r="X99" s="365"/>
      <c r="Y99" s="365"/>
      <c r="Z99" s="365"/>
      <c r="AA99" s="365"/>
      <c r="AB99" s="365"/>
      <c r="AC99" s="365"/>
      <c r="AD99" s="365"/>
      <c r="AE99" s="365"/>
      <c r="AF99" s="365"/>
      <c r="AG99" s="365"/>
      <c r="AH99" s="365"/>
      <c r="AI99" s="365"/>
      <c r="AJ99" s="365"/>
      <c r="AK99" s="365"/>
      <c r="AL99" s="365"/>
      <c r="AM99" s="366"/>
    </row>
    <row r="100" spans="1:98" ht="39.75" customHeight="1">
      <c r="A100" s="158"/>
      <c r="B100" s="160"/>
      <c r="C100" s="365" t="s">
        <v>337</v>
      </c>
      <c r="D100" s="365"/>
      <c r="E100" s="365"/>
      <c r="F100" s="365"/>
      <c r="G100" s="365"/>
      <c r="H100" s="365"/>
      <c r="I100" s="365"/>
      <c r="J100" s="365"/>
      <c r="K100" s="365"/>
      <c r="L100" s="365"/>
      <c r="M100" s="365"/>
      <c r="N100" s="365"/>
      <c r="O100" s="365"/>
      <c r="P100" s="365"/>
      <c r="Q100" s="365"/>
      <c r="R100" s="365"/>
      <c r="S100" s="365"/>
      <c r="T100" s="365"/>
      <c r="U100" s="365"/>
      <c r="V100" s="365"/>
      <c r="W100" s="365"/>
      <c r="X100" s="365"/>
      <c r="Y100" s="365"/>
      <c r="Z100" s="365"/>
      <c r="AA100" s="365"/>
      <c r="AB100" s="365"/>
      <c r="AC100" s="365"/>
      <c r="AD100" s="365"/>
      <c r="AE100" s="365"/>
      <c r="AF100" s="365"/>
      <c r="AG100" s="365"/>
      <c r="AH100" s="365"/>
      <c r="AI100" s="365"/>
      <c r="AJ100" s="365"/>
      <c r="AK100" s="365"/>
      <c r="AL100" s="365"/>
      <c r="AM100" s="366"/>
    </row>
    <row r="101" spans="1:98" ht="16.5" customHeight="1">
      <c r="A101" s="158"/>
      <c r="B101" s="160"/>
      <c r="C101" s="249"/>
      <c r="D101" s="249"/>
      <c r="E101" s="249"/>
      <c r="F101" s="249"/>
      <c r="G101" s="249"/>
      <c r="H101" s="249"/>
      <c r="I101" s="249"/>
      <c r="J101" s="249"/>
      <c r="K101" s="249"/>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50"/>
    </row>
    <row r="102" spans="1:98" ht="33">
      <c r="A102" s="158"/>
      <c r="B102" s="170" t="s">
        <v>259</v>
      </c>
      <c r="C102" s="160"/>
      <c r="D102" s="160"/>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E102" s="160"/>
      <c r="AF102" s="160"/>
      <c r="AG102" s="160"/>
      <c r="AH102" s="160"/>
      <c r="AI102" s="160"/>
      <c r="AJ102" s="160"/>
      <c r="AK102" s="160"/>
      <c r="AL102" s="160"/>
      <c r="AM102" s="161"/>
      <c r="CR102" s="152"/>
      <c r="CS102" s="152"/>
      <c r="CT102" s="152"/>
    </row>
    <row r="103" spans="1:98" ht="12" customHeight="1" thickBot="1">
      <c r="A103" s="158"/>
      <c r="B103" s="170"/>
      <c r="C103" s="160"/>
      <c r="D103" s="160"/>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0"/>
      <c r="AC103" s="160"/>
      <c r="AD103" s="160"/>
      <c r="AE103" s="160"/>
      <c r="AF103" s="160"/>
      <c r="AG103" s="160"/>
      <c r="AH103" s="160"/>
      <c r="AI103" s="160"/>
      <c r="AJ103" s="160"/>
      <c r="AK103" s="160"/>
      <c r="AL103" s="160"/>
      <c r="AM103" s="161"/>
    </row>
    <row r="104" spans="1:98" ht="33.75" thickBot="1">
      <c r="A104" s="158"/>
      <c r="B104" s="170"/>
      <c r="C104" s="536" t="s">
        <v>22</v>
      </c>
      <c r="D104" s="537"/>
      <c r="E104" s="537"/>
      <c r="F104" s="537"/>
      <c r="G104" s="537"/>
      <c r="H104" s="537"/>
      <c r="I104" s="650" t="str">
        <f ca="1">IF(ISERROR(IF(N93=0,"",IF(O62="",IF(軽減計算!U7&gt;0,軽減計算!U7&amp;"割軽減","軽減なし（非該当）"),""))),"",IF(N93=0,"",IF(O62="",IF(軽減計算!U7&gt;0,軽減計算!U7&amp;"割軽減","軽減なし（非該当）"),"")))</f>
        <v/>
      </c>
      <c r="J104" s="651"/>
      <c r="K104" s="651"/>
      <c r="L104" s="651"/>
      <c r="M104" s="651"/>
      <c r="N104" s="651"/>
      <c r="O104" s="651"/>
      <c r="P104" s="651"/>
      <c r="Q104" s="651"/>
      <c r="R104" s="651"/>
      <c r="S104" s="651"/>
      <c r="T104" s="651"/>
      <c r="U104" s="652"/>
      <c r="V104" s="160"/>
      <c r="W104" s="160"/>
      <c r="X104" s="160"/>
      <c r="Y104" s="160"/>
      <c r="Z104" s="160"/>
      <c r="AA104" s="160"/>
      <c r="AB104" s="160"/>
      <c r="AC104" s="160"/>
      <c r="AD104" s="160"/>
      <c r="AE104" s="160"/>
      <c r="AF104" s="160"/>
      <c r="AG104" s="160"/>
      <c r="AH104" s="160"/>
      <c r="AI104" s="160"/>
      <c r="AJ104" s="160"/>
      <c r="AK104" s="160"/>
      <c r="AL104" s="160"/>
      <c r="AM104" s="161"/>
    </row>
    <row r="105" spans="1:98" ht="12" customHeight="1">
      <c r="A105" s="158"/>
      <c r="B105" s="170"/>
      <c r="C105" s="160"/>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c r="AF105" s="160"/>
      <c r="AG105" s="160"/>
      <c r="AH105" s="160"/>
      <c r="AI105" s="160"/>
      <c r="AJ105" s="160"/>
      <c r="AK105" s="160"/>
      <c r="AL105" s="160"/>
      <c r="AM105" s="161"/>
      <c r="AO105" s="218"/>
    </row>
    <row r="106" spans="1:98" ht="22.5" customHeight="1">
      <c r="A106" s="158"/>
      <c r="B106" s="139" t="s">
        <v>269</v>
      </c>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c r="AF106" s="160"/>
      <c r="AG106" s="160"/>
      <c r="AH106" s="160"/>
      <c r="AI106" s="160"/>
      <c r="AJ106" s="160"/>
      <c r="AK106" s="160"/>
      <c r="AL106" s="160"/>
      <c r="AM106" s="161"/>
    </row>
    <row r="107" spans="1:98" ht="22.5" customHeight="1">
      <c r="A107" s="158"/>
      <c r="B107" s="139" t="s">
        <v>301</v>
      </c>
      <c r="C107" s="160"/>
      <c r="D107" s="160"/>
      <c r="E107" s="160"/>
      <c r="F107" s="160"/>
      <c r="G107" s="160"/>
      <c r="H107" s="160"/>
      <c r="I107" s="214" t="s">
        <v>300</v>
      </c>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c r="AF107" s="160"/>
      <c r="AG107" s="160"/>
      <c r="AH107" s="160"/>
      <c r="AI107" s="160"/>
      <c r="AJ107" s="160"/>
      <c r="AK107" s="160"/>
      <c r="AL107" s="160"/>
      <c r="AM107" s="161"/>
      <c r="AO107" s="253"/>
    </row>
    <row r="108" spans="1:98" ht="14.25" customHeight="1">
      <c r="A108" s="158"/>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0"/>
      <c r="AK108" s="160"/>
      <c r="AL108" s="160"/>
      <c r="AM108" s="161"/>
      <c r="AO108" s="253"/>
    </row>
    <row r="109" spans="1:98" ht="18.75" customHeight="1">
      <c r="A109" s="158"/>
      <c r="B109" s="154" t="s">
        <v>267</v>
      </c>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c r="AF109" s="160"/>
      <c r="AG109" s="160"/>
      <c r="AH109" s="160"/>
      <c r="AI109" s="160"/>
      <c r="AJ109" s="160"/>
      <c r="AK109" s="160"/>
      <c r="AL109" s="160"/>
      <c r="AM109" s="161"/>
      <c r="AO109" s="252"/>
    </row>
    <row r="110" spans="1:98" ht="18.75" customHeight="1">
      <c r="A110" s="158"/>
      <c r="B110" s="160" t="s">
        <v>268</v>
      </c>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c r="AF110" s="160"/>
      <c r="AG110" s="160"/>
      <c r="AH110" s="160"/>
      <c r="AI110" s="160"/>
      <c r="AJ110" s="160"/>
      <c r="AK110" s="160"/>
      <c r="AL110" s="160"/>
      <c r="AM110" s="161"/>
    </row>
    <row r="111" spans="1:98" ht="18.75" customHeight="1">
      <c r="A111" s="158"/>
      <c r="B111" s="160" t="s">
        <v>327</v>
      </c>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c r="AF111" s="160"/>
      <c r="AG111" s="160"/>
      <c r="AH111" s="160"/>
      <c r="AI111" s="160"/>
      <c r="AJ111" s="160"/>
      <c r="AK111" s="160"/>
      <c r="AL111" s="160"/>
      <c r="AM111" s="161"/>
    </row>
    <row r="112" spans="1:98" ht="18.75" customHeight="1">
      <c r="A112" s="158"/>
      <c r="B112" s="160" t="s">
        <v>304</v>
      </c>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c r="AF112" s="160"/>
      <c r="AG112" s="160"/>
      <c r="AH112" s="160"/>
      <c r="AI112" s="160"/>
      <c r="AJ112" s="160"/>
      <c r="AK112" s="160"/>
      <c r="AL112" s="160"/>
      <c r="AM112" s="161"/>
    </row>
    <row r="113" spans="1:39" ht="18.75" customHeight="1">
      <c r="A113" s="158"/>
      <c r="B113" s="139" t="s">
        <v>328</v>
      </c>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0"/>
      <c r="AD113" s="160"/>
      <c r="AE113" s="160"/>
      <c r="AF113" s="160"/>
      <c r="AG113" s="160"/>
      <c r="AH113" s="160"/>
      <c r="AI113" s="160"/>
      <c r="AJ113" s="160"/>
      <c r="AK113" s="160"/>
      <c r="AL113" s="160"/>
      <c r="AM113" s="161"/>
    </row>
    <row r="114" spans="1:39" ht="18.75" customHeight="1">
      <c r="A114" s="158"/>
      <c r="B114" s="639" t="s">
        <v>329</v>
      </c>
      <c r="C114" s="639"/>
      <c r="D114" s="639"/>
      <c r="E114" s="639"/>
      <c r="F114" s="639"/>
      <c r="G114" s="639"/>
      <c r="H114" s="639"/>
      <c r="I114" s="639"/>
      <c r="J114" s="639"/>
      <c r="K114" s="639"/>
      <c r="L114" s="639"/>
      <c r="M114" s="639"/>
      <c r="N114" s="639"/>
      <c r="O114" s="639"/>
      <c r="P114" s="639"/>
      <c r="Q114" s="639"/>
      <c r="R114" s="639"/>
      <c r="S114" s="639"/>
      <c r="T114" s="639"/>
      <c r="U114" s="639"/>
      <c r="V114" s="639"/>
      <c r="W114" s="639"/>
      <c r="X114" s="639"/>
      <c r="Y114" s="639"/>
      <c r="Z114" s="639"/>
      <c r="AA114" s="639"/>
      <c r="AB114" s="639"/>
      <c r="AC114" s="639"/>
      <c r="AD114" s="639"/>
      <c r="AE114" s="639"/>
      <c r="AF114" s="639"/>
      <c r="AG114" s="639"/>
      <c r="AH114" s="639"/>
      <c r="AI114" s="639"/>
      <c r="AJ114" s="639"/>
      <c r="AK114" s="639"/>
      <c r="AL114" s="639"/>
      <c r="AM114" s="640"/>
    </row>
    <row r="115" spans="1:39" ht="9" customHeight="1" thickBot="1">
      <c r="A115" s="162"/>
      <c r="B115" s="163"/>
      <c r="C115" s="163"/>
      <c r="D115" s="163"/>
      <c r="E115" s="163"/>
      <c r="F115" s="163"/>
      <c r="G115" s="163"/>
      <c r="H115" s="163"/>
      <c r="I115" s="163"/>
      <c r="J115" s="163"/>
      <c r="K115" s="163"/>
      <c r="L115" s="163"/>
      <c r="M115" s="163"/>
      <c r="N115" s="163"/>
      <c r="O115" s="163"/>
      <c r="P115" s="163"/>
      <c r="Q115" s="163"/>
      <c r="R115" s="163"/>
      <c r="S115" s="163"/>
      <c r="T115" s="163"/>
      <c r="U115" s="163"/>
      <c r="V115" s="163"/>
      <c r="W115" s="163"/>
      <c r="X115" s="163"/>
      <c r="Y115" s="163"/>
      <c r="Z115" s="163"/>
      <c r="AA115" s="163"/>
      <c r="AB115" s="163"/>
      <c r="AC115" s="163"/>
      <c r="AD115" s="163"/>
      <c r="AE115" s="163"/>
      <c r="AF115" s="163"/>
      <c r="AG115" s="163"/>
      <c r="AH115" s="163"/>
      <c r="AI115" s="163"/>
      <c r="AJ115" s="163"/>
      <c r="AK115" s="163"/>
      <c r="AL115" s="163"/>
      <c r="AM115" s="164"/>
    </row>
  </sheetData>
  <sheetProtection algorithmName="SHA-512" hashValue="GRn51Clm3Q6vObHrGRdqcbJ3SuOsUGUdV1Piju0q6FhrmHNsURNPXJehgQ+/q67du9DkXwYcBy8vUbBvgafDgQ==" saltValue="S38k7opqa7JZFl3NtTJmow==" spinCount="100000" sheet="1" selectLockedCells="1"/>
  <dataConsolidate/>
  <mergeCells count="728">
    <mergeCell ref="DA73:EJ73"/>
    <mergeCell ref="BP81:BR81"/>
    <mergeCell ref="BS76:BU76"/>
    <mergeCell ref="BS77:BU77"/>
    <mergeCell ref="GE85:GG85"/>
    <mergeCell ref="GX85:GZ85"/>
    <mergeCell ref="HQ85:HT85"/>
    <mergeCell ref="FI84:FK84"/>
    <mergeCell ref="FL84:FN84"/>
    <mergeCell ref="FO84:FQ84"/>
    <mergeCell ref="FR84:FT84"/>
    <mergeCell ref="FU84:FW84"/>
    <mergeCell ref="FX84:FZ84"/>
    <mergeCell ref="GA84:GC84"/>
    <mergeCell ref="FI85:FK85"/>
    <mergeCell ref="FL85:FN85"/>
    <mergeCell ref="FO85:FQ85"/>
    <mergeCell ref="FR85:FT85"/>
    <mergeCell ref="FX85:FZ85"/>
    <mergeCell ref="GA85:GC85"/>
    <mergeCell ref="BS75:BU75"/>
    <mergeCell ref="BP76:BR76"/>
    <mergeCell ref="BP77:BR77"/>
    <mergeCell ref="BP78:BR78"/>
    <mergeCell ref="AW70:BE70"/>
    <mergeCell ref="I104:U104"/>
    <mergeCell ref="BN82:BO82"/>
    <mergeCell ref="Q71:AL71"/>
    <mergeCell ref="BN76:BO76"/>
    <mergeCell ref="BN77:BO77"/>
    <mergeCell ref="BN78:BO78"/>
    <mergeCell ref="BN79:BO79"/>
    <mergeCell ref="BN80:BO80"/>
    <mergeCell ref="BF81:BG81"/>
    <mergeCell ref="AH77:AL77"/>
    <mergeCell ref="AH78:AL78"/>
    <mergeCell ref="BB78:BC78"/>
    <mergeCell ref="H77:I77"/>
    <mergeCell ref="J77:K77"/>
    <mergeCell ref="L77:M77"/>
    <mergeCell ref="N77:R77"/>
    <mergeCell ref="S77:W77"/>
    <mergeCell ref="C93:H94"/>
    <mergeCell ref="B114:AM114"/>
    <mergeCell ref="A11:AM11"/>
    <mergeCell ref="BF64:BH64"/>
    <mergeCell ref="W91:AA91"/>
    <mergeCell ref="W93:AA93"/>
    <mergeCell ref="W95:AA95"/>
    <mergeCell ref="AB91:AD91"/>
    <mergeCell ref="AB93:AD93"/>
    <mergeCell ref="AB95:AD95"/>
    <mergeCell ref="BF62:BH63"/>
    <mergeCell ref="BF60:BJ61"/>
    <mergeCell ref="BI62:BJ63"/>
    <mergeCell ref="F67:G67"/>
    <mergeCell ref="AW76:AY76"/>
    <mergeCell ref="AW77:AY77"/>
    <mergeCell ref="AW78:AY78"/>
    <mergeCell ref="AZ74:BA74"/>
    <mergeCell ref="C99:AM99"/>
    <mergeCell ref="BH77:BI77"/>
    <mergeCell ref="AZ75:BA75"/>
    <mergeCell ref="AZ76:BA76"/>
    <mergeCell ref="AZ77:BA77"/>
    <mergeCell ref="AZ78:BA78"/>
    <mergeCell ref="BB76:BC76"/>
    <mergeCell ref="F79:G79"/>
    <mergeCell ref="H79:I79"/>
    <mergeCell ref="AH75:AL75"/>
    <mergeCell ref="AH76:AL76"/>
    <mergeCell ref="BV82:BX82"/>
    <mergeCell ref="BY82:CA82"/>
    <mergeCell ref="BB80:BC80"/>
    <mergeCell ref="BB81:BC81"/>
    <mergeCell ref="AW75:AY75"/>
    <mergeCell ref="X77:AB77"/>
    <mergeCell ref="F78:G78"/>
    <mergeCell ref="H78:I78"/>
    <mergeCell ref="J78:K78"/>
    <mergeCell ref="L78:M78"/>
    <mergeCell ref="N78:R78"/>
    <mergeCell ref="S78:W78"/>
    <mergeCell ref="X78:AB78"/>
    <mergeCell ref="F77:G77"/>
    <mergeCell ref="BP79:BR79"/>
    <mergeCell ref="BP80:BR80"/>
    <mergeCell ref="BS79:BU79"/>
    <mergeCell ref="BL79:BM79"/>
    <mergeCell ref="BL80:BM80"/>
    <mergeCell ref="BB77:BC77"/>
    <mergeCell ref="BY81:CA81"/>
    <mergeCell ref="BB79:BC79"/>
    <mergeCell ref="CB81:CD81"/>
    <mergeCell ref="CE81:CG81"/>
    <mergeCell ref="BD80:BE80"/>
    <mergeCell ref="BD81:BE81"/>
    <mergeCell ref="BF77:BG77"/>
    <mergeCell ref="BF78:BG78"/>
    <mergeCell ref="BF79:BG79"/>
    <mergeCell ref="BF80:BG80"/>
    <mergeCell ref="BY78:CA78"/>
    <mergeCell ref="CB79:CD79"/>
    <mergeCell ref="CB80:CD80"/>
    <mergeCell ref="BY79:CA79"/>
    <mergeCell ref="BL78:BM78"/>
    <mergeCell ref="CE77:CG77"/>
    <mergeCell ref="CE78:CG78"/>
    <mergeCell ref="CE79:CG79"/>
    <mergeCell ref="CE80:CG80"/>
    <mergeCell ref="BL77:BM77"/>
    <mergeCell ref="BY77:CA77"/>
    <mergeCell ref="BS80:BU80"/>
    <mergeCell ref="BS78:BU78"/>
    <mergeCell ref="CH74:CJ74"/>
    <mergeCell ref="CH76:CJ76"/>
    <mergeCell ref="BN75:BO75"/>
    <mergeCell ref="BY74:CA74"/>
    <mergeCell ref="BL76:BM76"/>
    <mergeCell ref="BY75:CA75"/>
    <mergeCell ref="CE74:CG74"/>
    <mergeCell ref="BP74:BR74"/>
    <mergeCell ref="BS74:BU74"/>
    <mergeCell ref="BP75:BR75"/>
    <mergeCell ref="CH77:CJ77"/>
    <mergeCell ref="CH78:CJ78"/>
    <mergeCell ref="CH79:CJ79"/>
    <mergeCell ref="CH80:CJ80"/>
    <mergeCell ref="CK76:CL76"/>
    <mergeCell ref="CH75:CJ75"/>
    <mergeCell ref="CK74:CL74"/>
    <mergeCell ref="CK75:CL75"/>
    <mergeCell ref="CK77:CL77"/>
    <mergeCell ref="CK78:CL78"/>
    <mergeCell ref="CB77:CD77"/>
    <mergeCell ref="CB78:CD78"/>
    <mergeCell ref="AW71:AY71"/>
    <mergeCell ref="AW72:AY73"/>
    <mergeCell ref="AZ71:BB71"/>
    <mergeCell ref="BC71:BE71"/>
    <mergeCell ref="AZ72:BB73"/>
    <mergeCell ref="BC72:BE73"/>
    <mergeCell ref="CE76:CG76"/>
    <mergeCell ref="BL74:BO74"/>
    <mergeCell ref="CB74:CD74"/>
    <mergeCell ref="BL75:BM75"/>
    <mergeCell ref="BY76:CA76"/>
    <mergeCell ref="BF76:BG76"/>
    <mergeCell ref="BH76:BI76"/>
    <mergeCell ref="CB75:CD75"/>
    <mergeCell ref="CE75:CG75"/>
    <mergeCell ref="CB76:CD76"/>
    <mergeCell ref="AW74:AY74"/>
    <mergeCell ref="BB74:BC74"/>
    <mergeCell ref="BB75:BC75"/>
    <mergeCell ref="AH73:AL74"/>
    <mergeCell ref="AZ60:BB61"/>
    <mergeCell ref="AZ62:BB63"/>
    <mergeCell ref="C62:D62"/>
    <mergeCell ref="E62:F62"/>
    <mergeCell ref="BB66:BC66"/>
    <mergeCell ref="BB67:BC68"/>
    <mergeCell ref="BC60:BE61"/>
    <mergeCell ref="BC62:BE63"/>
    <mergeCell ref="H67:I67"/>
    <mergeCell ref="J67:K67"/>
    <mergeCell ref="L67:M67"/>
    <mergeCell ref="F66:M66"/>
    <mergeCell ref="H62:I62"/>
    <mergeCell ref="AW60:AY61"/>
    <mergeCell ref="AW62:AY63"/>
    <mergeCell ref="AW66:AY66"/>
    <mergeCell ref="X67:AB67"/>
    <mergeCell ref="N66:AB66"/>
    <mergeCell ref="AZ66:BA66"/>
    <mergeCell ref="AZ67:BA68"/>
    <mergeCell ref="AW67:AY68"/>
    <mergeCell ref="BD67:BF68"/>
    <mergeCell ref="Q64:AL64"/>
    <mergeCell ref="B77:E77"/>
    <mergeCell ref="B78:E78"/>
    <mergeCell ref="B79:E79"/>
    <mergeCell ref="B80:E80"/>
    <mergeCell ref="B81:E81"/>
    <mergeCell ref="B73:E74"/>
    <mergeCell ref="AC68:AG69"/>
    <mergeCell ref="B66:E69"/>
    <mergeCell ref="B75:E75"/>
    <mergeCell ref="B76:E76"/>
    <mergeCell ref="F73:M73"/>
    <mergeCell ref="N73:AB73"/>
    <mergeCell ref="F74:G74"/>
    <mergeCell ref="H74:I74"/>
    <mergeCell ref="AC66:AG67"/>
    <mergeCell ref="F68:G69"/>
    <mergeCell ref="H68:I69"/>
    <mergeCell ref="J68:K69"/>
    <mergeCell ref="L68:M69"/>
    <mergeCell ref="N68:R69"/>
    <mergeCell ref="S68:W69"/>
    <mergeCell ref="X68:AB69"/>
    <mergeCell ref="N67:R67"/>
    <mergeCell ref="S67:W67"/>
    <mergeCell ref="J74:K74"/>
    <mergeCell ref="L74:M74"/>
    <mergeCell ref="N74:R74"/>
    <mergeCell ref="S74:W74"/>
    <mergeCell ref="X74:AB74"/>
    <mergeCell ref="X76:AB76"/>
    <mergeCell ref="N97:U98"/>
    <mergeCell ref="C104:H104"/>
    <mergeCell ref="AC73:AG74"/>
    <mergeCell ref="AC75:AG75"/>
    <mergeCell ref="AC76:AG76"/>
    <mergeCell ref="AC77:AG77"/>
    <mergeCell ref="AC78:AG78"/>
    <mergeCell ref="X81:AB81"/>
    <mergeCell ref="N91:U92"/>
    <mergeCell ref="C91:M92"/>
    <mergeCell ref="N93:U94"/>
    <mergeCell ref="N95:U96"/>
    <mergeCell ref="F81:G81"/>
    <mergeCell ref="H81:I81"/>
    <mergeCell ref="J81:K81"/>
    <mergeCell ref="L81:M81"/>
    <mergeCell ref="N81:R81"/>
    <mergeCell ref="S81:W81"/>
    <mergeCell ref="X79:AB79"/>
    <mergeCell ref="F75:G75"/>
    <mergeCell ref="H75:I75"/>
    <mergeCell ref="J75:K75"/>
    <mergeCell ref="L75:M75"/>
    <mergeCell ref="N75:R75"/>
    <mergeCell ref="CM81:CN81"/>
    <mergeCell ref="AH79:AL79"/>
    <mergeCell ref="AH80:AL80"/>
    <mergeCell ref="AH81:AL81"/>
    <mergeCell ref="J79:K79"/>
    <mergeCell ref="L79:M79"/>
    <mergeCell ref="N79:R79"/>
    <mergeCell ref="S79:W79"/>
    <mergeCell ref="I93:M94"/>
    <mergeCell ref="AE91:AG91"/>
    <mergeCell ref="CK79:CL79"/>
    <mergeCell ref="CK80:CL80"/>
    <mergeCell ref="BY80:CA80"/>
    <mergeCell ref="BS81:BU81"/>
    <mergeCell ref="BP82:BR82"/>
    <mergeCell ref="BS82:BU82"/>
    <mergeCell ref="BY84:CA84"/>
    <mergeCell ref="BV83:BX83"/>
    <mergeCell ref="CH81:CJ81"/>
    <mergeCell ref="BL81:BM81"/>
    <mergeCell ref="BN81:BO81"/>
    <mergeCell ref="N80:R80"/>
    <mergeCell ref="S80:W80"/>
    <mergeCell ref="X80:AB80"/>
    <mergeCell ref="CQ74:CR74"/>
    <mergeCell ref="CQ75:CR75"/>
    <mergeCell ref="CO75:CP75"/>
    <mergeCell ref="CO74:CP74"/>
    <mergeCell ref="CM74:CN74"/>
    <mergeCell ref="CM75:CN75"/>
    <mergeCell ref="CM76:CN76"/>
    <mergeCell ref="CM77:CN77"/>
    <mergeCell ref="F80:G80"/>
    <mergeCell ref="H80:I80"/>
    <mergeCell ref="J80:K80"/>
    <mergeCell ref="L80:M80"/>
    <mergeCell ref="AC79:AG79"/>
    <mergeCell ref="CM78:CN78"/>
    <mergeCell ref="CM79:CN79"/>
    <mergeCell ref="CM80:CN80"/>
    <mergeCell ref="S75:W75"/>
    <mergeCell ref="X75:AB75"/>
    <mergeCell ref="F76:G76"/>
    <mergeCell ref="H76:I76"/>
    <mergeCell ref="J76:K76"/>
    <mergeCell ref="L76:M76"/>
    <mergeCell ref="N76:R76"/>
    <mergeCell ref="S76:W76"/>
    <mergeCell ref="CQ82:CR82"/>
    <mergeCell ref="CS76:CT76"/>
    <mergeCell ref="CS77:CT77"/>
    <mergeCell ref="CS78:CT78"/>
    <mergeCell ref="CS79:CT79"/>
    <mergeCell ref="CS80:CT80"/>
    <mergeCell ref="CS81:CT81"/>
    <mergeCell ref="CS82:CT82"/>
    <mergeCell ref="CO79:CP79"/>
    <mergeCell ref="CO80:CP80"/>
    <mergeCell ref="CO81:CP81"/>
    <mergeCell ref="CO76:CP76"/>
    <mergeCell ref="CO77:CP77"/>
    <mergeCell ref="CO78:CP78"/>
    <mergeCell ref="CQ79:CR79"/>
    <mergeCell ref="CQ80:CR80"/>
    <mergeCell ref="CQ81:CR81"/>
    <mergeCell ref="CQ76:CR76"/>
    <mergeCell ref="CQ77:CR77"/>
    <mergeCell ref="CQ78:CR78"/>
    <mergeCell ref="BP66:BQ66"/>
    <mergeCell ref="CC70:CE71"/>
    <mergeCell ref="CC72:CE73"/>
    <mergeCell ref="BU71:BW71"/>
    <mergeCell ref="BF72:BH73"/>
    <mergeCell ref="BI72:BK73"/>
    <mergeCell ref="BL72:BN73"/>
    <mergeCell ref="BM66:BO66"/>
    <mergeCell ref="BM67:BO68"/>
    <mergeCell ref="BO72:BQ73"/>
    <mergeCell ref="BR72:BT73"/>
    <mergeCell ref="BU72:BW73"/>
    <mergeCell ref="DG79:DI79"/>
    <mergeCell ref="DG80:DI80"/>
    <mergeCell ref="DG81:DI81"/>
    <mergeCell ref="DG78:DI78"/>
    <mergeCell ref="CX79:CZ79"/>
    <mergeCell ref="CX80:CZ80"/>
    <mergeCell ref="CX81:CZ81"/>
    <mergeCell ref="DA81:DC81"/>
    <mergeCell ref="DD77:DF77"/>
    <mergeCell ref="DD78:DF78"/>
    <mergeCell ref="DD79:DF79"/>
    <mergeCell ref="DD80:DF80"/>
    <mergeCell ref="DD81:DF81"/>
    <mergeCell ref="DA77:DC77"/>
    <mergeCell ref="DA78:DC78"/>
    <mergeCell ref="DP77:DR77"/>
    <mergeCell ref="DP78:DR78"/>
    <mergeCell ref="DP81:DR81"/>
    <mergeCell ref="DJ75:DL75"/>
    <mergeCell ref="DJ76:DL76"/>
    <mergeCell ref="DJ77:DL77"/>
    <mergeCell ref="DJ78:DL78"/>
    <mergeCell ref="DJ79:DL79"/>
    <mergeCell ref="DJ80:DL80"/>
    <mergeCell ref="DJ81:DL81"/>
    <mergeCell ref="DM75:DO75"/>
    <mergeCell ref="DM76:DO76"/>
    <mergeCell ref="DM77:DO77"/>
    <mergeCell ref="DM78:DO78"/>
    <mergeCell ref="DM79:DO79"/>
    <mergeCell ref="DM80:DO80"/>
    <mergeCell ref="DM81:DO81"/>
    <mergeCell ref="DP74:DR74"/>
    <mergeCell ref="DG74:DI74"/>
    <mergeCell ref="DG75:DI75"/>
    <mergeCell ref="CX75:CZ75"/>
    <mergeCell ref="CX76:CZ76"/>
    <mergeCell ref="CU76:CW76"/>
    <mergeCell ref="CS74:CT74"/>
    <mergeCell ref="DD75:DF75"/>
    <mergeCell ref="DD76:DF76"/>
    <mergeCell ref="CS75:CT75"/>
    <mergeCell ref="CU74:CW74"/>
    <mergeCell ref="CX74:CZ74"/>
    <mergeCell ref="CU75:CW75"/>
    <mergeCell ref="DP75:DR75"/>
    <mergeCell ref="DP76:DR76"/>
    <mergeCell ref="DA74:DC74"/>
    <mergeCell ref="DA75:DC75"/>
    <mergeCell ref="DD74:DF74"/>
    <mergeCell ref="DA76:DC76"/>
    <mergeCell ref="DJ74:DL74"/>
    <mergeCell ref="DM74:DO74"/>
    <mergeCell ref="EB74:ED74"/>
    <mergeCell ref="EE74:EG74"/>
    <mergeCell ref="EH74:EJ74"/>
    <mergeCell ref="EB75:ED75"/>
    <mergeCell ref="EB76:ED76"/>
    <mergeCell ref="EB77:ED77"/>
    <mergeCell ref="EB78:ED78"/>
    <mergeCell ref="DS77:DU77"/>
    <mergeCell ref="DV77:DX77"/>
    <mergeCell ref="DY77:EA77"/>
    <mergeCell ref="DS78:DU78"/>
    <mergeCell ref="DV78:DX78"/>
    <mergeCell ref="DY78:EA78"/>
    <mergeCell ref="EB79:ED79"/>
    <mergeCell ref="EB80:ED80"/>
    <mergeCell ref="EB81:ED81"/>
    <mergeCell ref="EE75:EG75"/>
    <mergeCell ref="EH75:EJ75"/>
    <mergeCell ref="EE76:EG76"/>
    <mergeCell ref="EE77:EG77"/>
    <mergeCell ref="EE78:EG78"/>
    <mergeCell ref="EE79:EG79"/>
    <mergeCell ref="EE80:EG80"/>
    <mergeCell ref="EE81:EG81"/>
    <mergeCell ref="EH76:EJ76"/>
    <mergeCell ref="DA82:DC82"/>
    <mergeCell ref="DD82:DF82"/>
    <mergeCell ref="BK60:BM61"/>
    <mergeCell ref="BK62:BM63"/>
    <mergeCell ref="BQ60:BS61"/>
    <mergeCell ref="BQ62:BS63"/>
    <mergeCell ref="DS79:DU79"/>
    <mergeCell ref="DV79:DX79"/>
    <mergeCell ref="DY79:EA79"/>
    <mergeCell ref="DS80:DU80"/>
    <mergeCell ref="DV80:DX80"/>
    <mergeCell ref="DY80:EA80"/>
    <mergeCell ref="CF70:CH71"/>
    <mergeCell ref="CF72:CH73"/>
    <mergeCell ref="CI70:CQ70"/>
    <mergeCell ref="BV75:BX75"/>
    <mergeCell ref="BN60:BP61"/>
    <mergeCell ref="BN62:BP63"/>
    <mergeCell ref="DP79:DR79"/>
    <mergeCell ref="DP80:DR80"/>
    <mergeCell ref="DA79:DC79"/>
    <mergeCell ref="DA80:DC80"/>
    <mergeCell ref="DG76:DI76"/>
    <mergeCell ref="DG77:DI77"/>
    <mergeCell ref="DS81:DU81"/>
    <mergeCell ref="DV81:DX81"/>
    <mergeCell ref="DY81:EA81"/>
    <mergeCell ref="DS74:DU74"/>
    <mergeCell ref="DV74:DX74"/>
    <mergeCell ref="DY74:EA74"/>
    <mergeCell ref="DS75:DU75"/>
    <mergeCell ref="DV75:DX75"/>
    <mergeCell ref="DY75:EA75"/>
    <mergeCell ref="DS76:DU76"/>
    <mergeCell ref="DV76:DX76"/>
    <mergeCell ref="DY76:EA76"/>
    <mergeCell ref="DG82:DI82"/>
    <mergeCell ref="DJ82:DL82"/>
    <mergeCell ref="DM82:DO82"/>
    <mergeCell ref="DS82:DU82"/>
    <mergeCell ref="DV82:DX82"/>
    <mergeCell ref="DY82:EA82"/>
    <mergeCell ref="EB82:ED82"/>
    <mergeCell ref="EB83:ED83"/>
    <mergeCell ref="EE83:EG83"/>
    <mergeCell ref="DP82:DR82"/>
    <mergeCell ref="EH83:EJ83"/>
    <mergeCell ref="EK74:EM74"/>
    <mergeCell ref="EK76:EM76"/>
    <mergeCell ref="EK77:EM77"/>
    <mergeCell ref="EK78:EM78"/>
    <mergeCell ref="EK79:EM79"/>
    <mergeCell ref="EK80:EM80"/>
    <mergeCell ref="EK81:EM81"/>
    <mergeCell ref="EE82:EG82"/>
    <mergeCell ref="EH82:EJ82"/>
    <mergeCell ref="EH77:EJ77"/>
    <mergeCell ref="EH78:EJ78"/>
    <mergeCell ref="EH79:EJ79"/>
    <mergeCell ref="EH80:EJ80"/>
    <mergeCell ref="EH81:EJ81"/>
    <mergeCell ref="EN74:EP74"/>
    <mergeCell ref="EQ74:ES74"/>
    <mergeCell ref="ET74:EV74"/>
    <mergeCell ref="EW74:EY74"/>
    <mergeCell ref="EZ74:FB74"/>
    <mergeCell ref="FC74:FE74"/>
    <mergeCell ref="FF74:FH74"/>
    <mergeCell ref="FI74:FK74"/>
    <mergeCell ref="EK75:EM75"/>
    <mergeCell ref="EN75:EP75"/>
    <mergeCell ref="EQ75:ES75"/>
    <mergeCell ref="EW75:EY75"/>
    <mergeCell ref="EZ75:FB75"/>
    <mergeCell ref="FF75:FH75"/>
    <mergeCell ref="FI75:FK75"/>
    <mergeCell ref="EN81:EP81"/>
    <mergeCell ref="EQ81:ES81"/>
    <mergeCell ref="EK82:EM82"/>
    <mergeCell ref="EN82:EP82"/>
    <mergeCell ref="EQ82:ES82"/>
    <mergeCell ref="ET75:EV75"/>
    <mergeCell ref="ET76:EV76"/>
    <mergeCell ref="ET77:EV77"/>
    <mergeCell ref="ET78:EV78"/>
    <mergeCell ref="ET79:EV79"/>
    <mergeCell ref="ET80:EV80"/>
    <mergeCell ref="ET81:EV81"/>
    <mergeCell ref="EN76:EP76"/>
    <mergeCell ref="EQ76:ES76"/>
    <mergeCell ref="EN77:EP77"/>
    <mergeCell ref="EQ77:ES77"/>
    <mergeCell ref="EN78:EP78"/>
    <mergeCell ref="EQ78:ES78"/>
    <mergeCell ref="EN79:EP79"/>
    <mergeCell ref="EQ79:ES79"/>
    <mergeCell ref="EN80:EP80"/>
    <mergeCell ref="EQ80:ES80"/>
    <mergeCell ref="EW76:EY76"/>
    <mergeCell ref="EZ76:FB76"/>
    <mergeCell ref="EW77:EY77"/>
    <mergeCell ref="EZ77:FB77"/>
    <mergeCell ref="EW78:EY78"/>
    <mergeCell ref="EZ78:FB78"/>
    <mergeCell ref="EW79:EY79"/>
    <mergeCell ref="EZ79:FB79"/>
    <mergeCell ref="EW80:EY80"/>
    <mergeCell ref="EZ80:FB80"/>
    <mergeCell ref="FC77:FE77"/>
    <mergeCell ref="FF77:FH77"/>
    <mergeCell ref="FI77:FK77"/>
    <mergeCell ref="FC78:FE78"/>
    <mergeCell ref="FF78:FH78"/>
    <mergeCell ref="FI78:FK78"/>
    <mergeCell ref="FC79:FE79"/>
    <mergeCell ref="FF79:FH79"/>
    <mergeCell ref="FI79:FK79"/>
    <mergeCell ref="FL74:FN74"/>
    <mergeCell ref="FO74:FQ74"/>
    <mergeCell ref="FR74:FT74"/>
    <mergeCell ref="FL75:FN75"/>
    <mergeCell ref="FO75:FQ75"/>
    <mergeCell ref="FR75:FT75"/>
    <mergeCell ref="FL76:FN76"/>
    <mergeCell ref="FO76:FQ76"/>
    <mergeCell ref="FR76:FT76"/>
    <mergeCell ref="FL77:FN77"/>
    <mergeCell ref="FO77:FQ77"/>
    <mergeCell ref="FR77:FT77"/>
    <mergeCell ref="FL78:FN78"/>
    <mergeCell ref="FO78:FQ78"/>
    <mergeCell ref="FR78:FT78"/>
    <mergeCell ref="FL79:FN79"/>
    <mergeCell ref="FO79:FQ79"/>
    <mergeCell ref="FR79:FT79"/>
    <mergeCell ref="FO80:FQ80"/>
    <mergeCell ref="FR80:FT80"/>
    <mergeCell ref="FL81:FN81"/>
    <mergeCell ref="FO81:FQ81"/>
    <mergeCell ref="FR81:FT81"/>
    <mergeCell ref="ET82:EV82"/>
    <mergeCell ref="EW82:EY82"/>
    <mergeCell ref="EZ82:FB82"/>
    <mergeCell ref="FC82:FE82"/>
    <mergeCell ref="FF82:FH82"/>
    <mergeCell ref="FI82:FK82"/>
    <mergeCell ref="FL82:FN82"/>
    <mergeCell ref="FO82:FQ82"/>
    <mergeCell ref="FR82:FT82"/>
    <mergeCell ref="EW81:EY81"/>
    <mergeCell ref="EZ81:FB81"/>
    <mergeCell ref="FC80:FE80"/>
    <mergeCell ref="FF80:FH80"/>
    <mergeCell ref="FI80:FK80"/>
    <mergeCell ref="FC81:FE81"/>
    <mergeCell ref="FF81:FH81"/>
    <mergeCell ref="FI81:FK81"/>
    <mergeCell ref="FO83:FQ83"/>
    <mergeCell ref="FR83:FT83"/>
    <mergeCell ref="FU74:FW74"/>
    <mergeCell ref="FX74:FZ74"/>
    <mergeCell ref="GA74:GC74"/>
    <mergeCell ref="FU75:FW75"/>
    <mergeCell ref="EK73:FT73"/>
    <mergeCell ref="FU73:GC73"/>
    <mergeCell ref="FU76:FW76"/>
    <mergeCell ref="FU77:FW77"/>
    <mergeCell ref="FU78:FW78"/>
    <mergeCell ref="FU79:FW79"/>
    <mergeCell ref="FU80:FW80"/>
    <mergeCell ref="FU81:FW81"/>
    <mergeCell ref="FX75:FZ75"/>
    <mergeCell ref="GA75:GC75"/>
    <mergeCell ref="FX76:FZ76"/>
    <mergeCell ref="GA76:GC76"/>
    <mergeCell ref="FX77:FZ77"/>
    <mergeCell ref="GA77:GC77"/>
    <mergeCell ref="FX78:FZ78"/>
    <mergeCell ref="GA78:GC78"/>
    <mergeCell ref="FX79:FZ79"/>
    <mergeCell ref="FL80:FN80"/>
    <mergeCell ref="I97:M98"/>
    <mergeCell ref="C97:H98"/>
    <mergeCell ref="CI71:CK71"/>
    <mergeCell ref="CL71:CN71"/>
    <mergeCell ref="CO71:CQ71"/>
    <mergeCell ref="CI72:CK73"/>
    <mergeCell ref="CL72:CN73"/>
    <mergeCell ref="CO72:CQ73"/>
    <mergeCell ref="BD75:BE75"/>
    <mergeCell ref="BD76:BE76"/>
    <mergeCell ref="BD77:BE77"/>
    <mergeCell ref="BF75:BG75"/>
    <mergeCell ref="BD74:BG74"/>
    <mergeCell ref="BH74:BK74"/>
    <mergeCell ref="BH75:BI75"/>
    <mergeCell ref="BJ75:BK75"/>
    <mergeCell ref="BD78:BE78"/>
    <mergeCell ref="BD79:BE79"/>
    <mergeCell ref="CO82:CP82"/>
    <mergeCell ref="CA70:CB71"/>
    <mergeCell ref="CA72:CB73"/>
    <mergeCell ref="AH91:AJ91"/>
    <mergeCell ref="BH78:BI78"/>
    <mergeCell ref="CK81:CL81"/>
    <mergeCell ref="A1:AM2"/>
    <mergeCell ref="DY83:EA83"/>
    <mergeCell ref="FI83:FK83"/>
    <mergeCell ref="BV76:BX76"/>
    <mergeCell ref="BV77:BX77"/>
    <mergeCell ref="BV78:BX78"/>
    <mergeCell ref="BV79:BX79"/>
    <mergeCell ref="BV80:BX80"/>
    <mergeCell ref="BV81:BX81"/>
    <mergeCell ref="BV74:BX74"/>
    <mergeCell ref="BC64:BE64"/>
    <mergeCell ref="BH79:BI79"/>
    <mergeCell ref="BH80:BI80"/>
    <mergeCell ref="BH81:BI81"/>
    <mergeCell ref="BJ76:BK76"/>
    <mergeCell ref="BJ77:BK77"/>
    <mergeCell ref="BJ78:BK78"/>
    <mergeCell ref="BJ79:BK79"/>
    <mergeCell ref="BJ80:BK80"/>
    <mergeCell ref="BJ81:BK81"/>
    <mergeCell ref="FC75:FE75"/>
    <mergeCell ref="FC76:FE76"/>
    <mergeCell ref="FF76:FH76"/>
    <mergeCell ref="FI76:FK76"/>
    <mergeCell ref="CU82:CW82"/>
    <mergeCell ref="CX82:CZ82"/>
    <mergeCell ref="AZ64:BB64"/>
    <mergeCell ref="BX72:BZ73"/>
    <mergeCell ref="BX70:BZ71"/>
    <mergeCell ref="BR66:BS66"/>
    <mergeCell ref="BR67:BS68"/>
    <mergeCell ref="BF70:BN70"/>
    <mergeCell ref="BO70:BW70"/>
    <mergeCell ref="BF71:BH71"/>
    <mergeCell ref="BI71:BK71"/>
    <mergeCell ref="BL71:BN71"/>
    <mergeCell ref="BO71:BQ71"/>
    <mergeCell ref="BR71:BT71"/>
    <mergeCell ref="BG67:BI68"/>
    <mergeCell ref="BJ67:BL68"/>
    <mergeCell ref="BD66:BF66"/>
    <mergeCell ref="CU77:CW77"/>
    <mergeCell ref="CU78:CW78"/>
    <mergeCell ref="CU79:CW79"/>
    <mergeCell ref="CU80:CW80"/>
    <mergeCell ref="BG66:BI66"/>
    <mergeCell ref="BJ66:BL66"/>
    <mergeCell ref="BP67:BQ68"/>
    <mergeCell ref="C100:AM100"/>
    <mergeCell ref="GE84:GG84"/>
    <mergeCell ref="FU85:FW85"/>
    <mergeCell ref="AH93:AJ93"/>
    <mergeCell ref="AE93:AG93"/>
    <mergeCell ref="AH95:AJ95"/>
    <mergeCell ref="AE95:AG95"/>
    <mergeCell ref="A58:AM58"/>
    <mergeCell ref="A85:AM85"/>
    <mergeCell ref="AW82:AY82"/>
    <mergeCell ref="AZ82:BA82"/>
    <mergeCell ref="AU67:AU68"/>
    <mergeCell ref="AV67:AV68"/>
    <mergeCell ref="A68:A69"/>
    <mergeCell ref="C95:H96"/>
    <mergeCell ref="I95:M96"/>
    <mergeCell ref="AC80:AG80"/>
    <mergeCell ref="AC81:AG81"/>
    <mergeCell ref="AW79:AY79"/>
    <mergeCell ref="AW80:AY80"/>
    <mergeCell ref="AW81:AY81"/>
    <mergeCell ref="AZ79:BA79"/>
    <mergeCell ref="AZ80:BA80"/>
    <mergeCell ref="AZ81:BA81"/>
    <mergeCell ref="GH71:GS71"/>
    <mergeCell ref="GE73:GG73"/>
    <mergeCell ref="GE74:GG74"/>
    <mergeCell ref="AW64:AY64"/>
    <mergeCell ref="BN64:BP64"/>
    <mergeCell ref="GE83:GG83"/>
    <mergeCell ref="GE82:GG82"/>
    <mergeCell ref="GE72:GG72"/>
    <mergeCell ref="GE71:GG71"/>
    <mergeCell ref="CU81:CW81"/>
    <mergeCell ref="CX77:CZ77"/>
    <mergeCell ref="CX78:CZ78"/>
    <mergeCell ref="GA79:GC79"/>
    <mergeCell ref="FX80:FZ80"/>
    <mergeCell ref="GA80:GC80"/>
    <mergeCell ref="FX81:FZ81"/>
    <mergeCell ref="GA81:GC81"/>
    <mergeCell ref="FU82:FW82"/>
    <mergeCell ref="FX82:FZ82"/>
    <mergeCell ref="GA82:GC82"/>
    <mergeCell ref="FU83:FW83"/>
    <mergeCell ref="FX83:FZ83"/>
    <mergeCell ref="GA83:GC83"/>
    <mergeCell ref="FL83:FN83"/>
    <mergeCell ref="GT84:GV84"/>
    <mergeCell ref="GX71:GZ71"/>
    <mergeCell ref="HA71:HL71"/>
    <mergeCell ref="HM71:HM73"/>
    <mergeCell ref="HN71:HN73"/>
    <mergeCell ref="HO71:HO73"/>
    <mergeCell ref="GX72:GZ72"/>
    <mergeCell ref="GX73:GZ73"/>
    <mergeCell ref="GX74:GZ74"/>
    <mergeCell ref="GX82:GZ82"/>
    <mergeCell ref="GX83:GZ83"/>
    <mergeCell ref="GX84:GZ84"/>
    <mergeCell ref="HM84:HO84"/>
    <mergeCell ref="GT71:GT73"/>
    <mergeCell ref="GU71:GU73"/>
    <mergeCell ref="GV71:GV73"/>
    <mergeCell ref="HM83:HO83"/>
    <mergeCell ref="HM82:HO82"/>
    <mergeCell ref="GT83:GV83"/>
    <mergeCell ref="GT82:GV82"/>
    <mergeCell ref="HQ83:HR83"/>
    <mergeCell ref="HQ84:HR84"/>
    <mergeCell ref="II84:IK84"/>
    <mergeCell ref="HW71:IH71"/>
    <mergeCell ref="II71:II73"/>
    <mergeCell ref="IJ71:IJ73"/>
    <mergeCell ref="IK71:IK73"/>
    <mergeCell ref="HQ73:HR73"/>
    <mergeCell ref="HQ74:HR74"/>
    <mergeCell ref="HQ82:HR82"/>
    <mergeCell ref="II83:IK83"/>
    <mergeCell ref="II82:IK82"/>
    <mergeCell ref="HQ71:HV71"/>
    <mergeCell ref="HQ72:HV72"/>
    <mergeCell ref="HS73:HV73"/>
    <mergeCell ref="HS74:HV74"/>
  </mergeCells>
  <phoneticPr fontId="2"/>
  <dataValidations count="3">
    <dataValidation type="whole" allowBlank="1" showInputMessage="1" showErrorMessage="1" sqref="H76:I81 H68:I69" xr:uid="{CF5E5101-C01F-487D-9ED3-BF7A6A9F07D7}">
      <formula1>1</formula1>
      <formula2>99</formula2>
    </dataValidation>
    <dataValidation type="whole" allowBlank="1" showInputMessage="1" showErrorMessage="1" sqref="J76:K81 J68:K69" xr:uid="{6FA8E7F6-EBC8-401D-A317-53A1C302F72F}">
      <formula1>1</formula1>
      <formula2>12</formula2>
    </dataValidation>
    <dataValidation type="whole" allowBlank="1" showInputMessage="1" showErrorMessage="1" sqref="L76:M81 L68:M69" xr:uid="{05B3B19C-AAA9-4DD6-BC8C-914952FD52DD}">
      <formula1>1</formula1>
      <formula2>31</formula2>
    </dataValidation>
  </dataValidations>
  <hyperlinks>
    <hyperlink ref="I107" r:id="rId1" xr:uid="{00000000-0004-0000-0000-000000000000}"/>
    <hyperlink ref="I19" r:id="rId2" xr:uid="{00000000-0004-0000-0000-000001000000}"/>
  </hyperlinks>
  <printOptions horizontalCentered="1" verticalCentered="1"/>
  <pageMargins left="0.39370078740157483" right="0.39370078740157483" top="0.39370078740157483" bottom="0.39370078740157483" header="0.31496062992125984" footer="0.31496062992125984"/>
  <pageSetup paperSize="9" scale="81" fitToHeight="0" orientation="landscape" r:id="rId3"/>
  <colBreaks count="1" manualBreakCount="1">
    <brk id="47" min="59" max="100" man="1"/>
  </colBreaks>
  <drawing r:id="rId4"/>
  <legacyDrawing r:id="rId5"/>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テーブル!$A$2:$A$5</xm:f>
          </x14:formula1>
          <xm:sqref>F68:G69 F76:G81</xm:sqref>
        </x14:dataValidation>
        <x14:dataValidation type="list" allowBlank="1" showInputMessage="1" showErrorMessage="1" xr:uid="{00000000-0002-0000-0000-000001000000}">
          <x14:formula1>
            <xm:f>テーブル!$E$2:$E$3</xm:f>
          </x14:formula1>
          <xm:sqref>AC68:AG69</xm:sqref>
        </x14:dataValidation>
        <x14:dataValidation type="list" allowBlank="1" showInputMessage="1" showErrorMessage="1" xr:uid="{00000000-0002-0000-0000-000002000000}">
          <x14:formula1>
            <xm:f>テーブル!$G$8</xm:f>
          </x14:formula1>
          <xm:sqref>AC81:AG81</xm:sqref>
        </x14:dataValidation>
        <x14:dataValidation type="list" allowBlank="1" showInputMessage="1" showErrorMessage="1" xr:uid="{00000000-0002-0000-0000-000003000000}">
          <x14:formula1>
            <xm:f>テーブル!$I$2:$I$3</xm:f>
          </x14:formula1>
          <xm:sqref>AH75:AH81</xm:sqref>
        </x14:dataValidation>
        <x14:dataValidation type="list" allowBlank="1" showInputMessage="1" showErrorMessage="1" xr:uid="{00000000-0002-0000-0000-000004000000}">
          <x14:formula1>
            <xm:f>テーブル!$K$2:$K$4</xm:f>
          </x14:formula1>
          <xm:sqref>E62:F62</xm:sqref>
        </x14:dataValidation>
        <x14:dataValidation type="list" allowBlank="1" showInputMessage="1" showErrorMessage="1" xr:uid="{4D2AABE1-FB44-43DE-9593-6E553EBC0975}">
          <x14:formula1>
            <xm:f>テーブル!$G$2</xm:f>
          </x14:formula1>
          <xm:sqref>AC75:AG75</xm:sqref>
        </x14:dataValidation>
        <x14:dataValidation type="list" allowBlank="1" showInputMessage="1" showErrorMessage="1" xr:uid="{95C7133A-1302-4902-AA7A-8697EF9C5962}">
          <x14:formula1>
            <xm:f>テーブル!$G$3</xm:f>
          </x14:formula1>
          <xm:sqref>AC76:AG76</xm:sqref>
        </x14:dataValidation>
        <x14:dataValidation type="list" allowBlank="1" showInputMessage="1" showErrorMessage="1" xr:uid="{F281E061-ED42-4DBD-BE1E-4E37FAFD4416}">
          <x14:formula1>
            <xm:f>テーブル!$G$4</xm:f>
          </x14:formula1>
          <xm:sqref>AC77:AG77</xm:sqref>
        </x14:dataValidation>
        <x14:dataValidation type="list" allowBlank="1" showInputMessage="1" showErrorMessage="1" xr:uid="{5F3EE409-E62F-40CC-BEEA-BC6AF5312363}">
          <x14:formula1>
            <xm:f>テーブル!$G$5</xm:f>
          </x14:formula1>
          <xm:sqref>AC78:AG78</xm:sqref>
        </x14:dataValidation>
        <x14:dataValidation type="list" allowBlank="1" showInputMessage="1" showErrorMessage="1" xr:uid="{12785431-7AA2-40D2-9AB2-008F89532846}">
          <x14:formula1>
            <xm:f>テーブル!$G$6</xm:f>
          </x14:formula1>
          <xm:sqref>AC79:AG79</xm:sqref>
        </x14:dataValidation>
        <x14:dataValidation type="list" allowBlank="1" showInputMessage="1" showErrorMessage="1" xr:uid="{F1252A0F-7227-4A08-813C-B33B6972965A}">
          <x14:formula1>
            <xm:f>テーブル!$G$7</xm:f>
          </x14:formula1>
          <xm:sqref>AC80:AG80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76"/>
  <sheetViews>
    <sheetView workbookViewId="0">
      <selection activeCell="H5" sqref="H5"/>
    </sheetView>
  </sheetViews>
  <sheetFormatPr defaultRowHeight="18.75"/>
  <sheetData>
    <row r="1" spans="1:14">
      <c r="A1" s="674" t="s">
        <v>13</v>
      </c>
      <c r="B1" s="674"/>
      <c r="C1" s="674" t="s">
        <v>160</v>
      </c>
      <c r="D1" s="674"/>
      <c r="E1" s="674" t="s">
        <v>161</v>
      </c>
      <c r="F1" s="674"/>
      <c r="G1" s="674" t="s">
        <v>162</v>
      </c>
      <c r="H1" s="674"/>
      <c r="I1" s="674" t="s">
        <v>203</v>
      </c>
      <c r="J1" s="674"/>
      <c r="K1" s="1" t="s">
        <v>222</v>
      </c>
      <c r="L1" t="s">
        <v>271</v>
      </c>
      <c r="M1" s="674" t="s">
        <v>307</v>
      </c>
      <c r="N1" s="674"/>
    </row>
    <row r="2" spans="1:14">
      <c r="A2" t="s">
        <v>17</v>
      </c>
      <c r="B2" t="s">
        <v>31</v>
      </c>
      <c r="C2">
        <v>74</v>
      </c>
      <c r="D2" s="224">
        <v>1</v>
      </c>
      <c r="E2" t="s">
        <v>19</v>
      </c>
      <c r="F2">
        <v>1</v>
      </c>
      <c r="G2" t="str">
        <f ca="1">IF(簡易試算表!AZ75&gt;64,"非該当","該当する")</f>
        <v>非該当</v>
      </c>
      <c r="H2" t="str">
        <f ca="1">IF(G2="該当する",1,"")</f>
        <v/>
      </c>
      <c r="I2" t="s">
        <v>23</v>
      </c>
      <c r="J2">
        <v>1</v>
      </c>
      <c r="K2">
        <f>VALUE(RIGHT(L2,1))</f>
        <v>6</v>
      </c>
      <c r="L2" s="225" t="s">
        <v>270</v>
      </c>
      <c r="M2">
        <v>1</v>
      </c>
      <c r="N2" t="s">
        <v>308</v>
      </c>
    </row>
    <row r="3" spans="1:14">
      <c r="A3" t="s">
        <v>30</v>
      </c>
      <c r="B3" t="s">
        <v>32</v>
      </c>
      <c r="C3">
        <v>73</v>
      </c>
      <c r="D3" s="224">
        <v>1</v>
      </c>
      <c r="E3" t="s">
        <v>129</v>
      </c>
      <c r="G3" t="str">
        <f ca="1">IF(簡易試算表!AZ76&gt;64,"非該当","該当する")</f>
        <v>非該当</v>
      </c>
      <c r="H3" t="str">
        <f t="shared" ref="H3:H8" ca="1" si="0">IF(G3="該当する",1,"")</f>
        <v/>
      </c>
      <c r="K3">
        <f>K2+1</f>
        <v>7</v>
      </c>
      <c r="L3" s="229"/>
      <c r="M3">
        <v>2</v>
      </c>
      <c r="N3" t="s">
        <v>309</v>
      </c>
    </row>
    <row r="4" spans="1:14">
      <c r="A4" t="s">
        <v>20</v>
      </c>
      <c r="B4" t="s">
        <v>33</v>
      </c>
      <c r="C4">
        <v>72</v>
      </c>
      <c r="D4" s="224">
        <v>1</v>
      </c>
      <c r="G4" t="str">
        <f ca="1">IF(簡易試算表!AZ77&gt;64,"非該当","該当する")</f>
        <v>非該当</v>
      </c>
      <c r="H4" t="str">
        <f t="shared" ca="1" si="0"/>
        <v/>
      </c>
      <c r="M4">
        <v>3</v>
      </c>
      <c r="N4" t="s">
        <v>310</v>
      </c>
    </row>
    <row r="5" spans="1:14">
      <c r="C5">
        <v>71</v>
      </c>
      <c r="D5" s="224">
        <v>1</v>
      </c>
      <c r="G5" t="str">
        <f ca="1">IF(簡易試算表!AZ78&gt;64,"非該当","該当する")</f>
        <v>非該当</v>
      </c>
      <c r="H5" t="str">
        <f t="shared" ca="1" si="0"/>
        <v/>
      </c>
    </row>
    <row r="6" spans="1:14">
      <c r="C6">
        <v>70</v>
      </c>
      <c r="D6" s="224">
        <v>1</v>
      </c>
      <c r="G6" t="str">
        <f ca="1">IF(簡易試算表!AZ79&gt;64,"非該当","該当する")</f>
        <v>非該当</v>
      </c>
      <c r="H6" t="str">
        <f t="shared" ca="1" si="0"/>
        <v/>
      </c>
    </row>
    <row r="7" spans="1:14">
      <c r="C7">
        <v>69</v>
      </c>
      <c r="D7" s="224">
        <v>1</v>
      </c>
      <c r="G7" t="str">
        <f ca="1">IF(簡易試算表!AZ80&gt;64,"非該当","該当する")</f>
        <v>非該当</v>
      </c>
      <c r="H7" t="str">
        <f t="shared" ca="1" si="0"/>
        <v/>
      </c>
    </row>
    <row r="8" spans="1:14">
      <c r="C8">
        <v>68</v>
      </c>
      <c r="D8" s="224">
        <v>1</v>
      </c>
      <c r="G8" t="str">
        <f ca="1">IF(簡易試算表!AZ81&gt;64,"非該当","該当する")</f>
        <v>非該当</v>
      </c>
      <c r="H8" t="str">
        <f t="shared" ca="1" si="0"/>
        <v/>
      </c>
    </row>
    <row r="9" spans="1:14">
      <c r="C9">
        <v>67</v>
      </c>
      <c r="D9" s="224">
        <v>1</v>
      </c>
      <c r="L9" s="226" t="s">
        <v>312</v>
      </c>
    </row>
    <row r="10" spans="1:14">
      <c r="C10">
        <v>66</v>
      </c>
      <c r="D10" s="224">
        <v>1</v>
      </c>
    </row>
    <row r="11" spans="1:14">
      <c r="C11">
        <v>65</v>
      </c>
      <c r="D11" s="224">
        <v>1</v>
      </c>
    </row>
    <row r="12" spans="1:14">
      <c r="C12">
        <v>64</v>
      </c>
      <c r="D12" s="225">
        <v>2</v>
      </c>
    </row>
    <row r="13" spans="1:14">
      <c r="C13">
        <v>63</v>
      </c>
      <c r="D13" s="225">
        <v>2</v>
      </c>
    </row>
    <row r="14" spans="1:14">
      <c r="C14">
        <v>62</v>
      </c>
      <c r="D14" s="225">
        <v>2</v>
      </c>
    </row>
    <row r="15" spans="1:14">
      <c r="C15">
        <v>61</v>
      </c>
      <c r="D15" s="225">
        <v>2</v>
      </c>
    </row>
    <row r="16" spans="1:14">
      <c r="C16">
        <v>60</v>
      </c>
      <c r="D16" s="225">
        <v>2</v>
      </c>
    </row>
    <row r="17" spans="3:4">
      <c r="C17">
        <v>59</v>
      </c>
      <c r="D17" s="225">
        <v>2</v>
      </c>
    </row>
    <row r="18" spans="3:4">
      <c r="C18">
        <v>58</v>
      </c>
      <c r="D18" s="225">
        <v>2</v>
      </c>
    </row>
    <row r="19" spans="3:4">
      <c r="C19">
        <v>57</v>
      </c>
      <c r="D19" s="225">
        <v>2</v>
      </c>
    </row>
    <row r="20" spans="3:4">
      <c r="C20">
        <v>56</v>
      </c>
      <c r="D20" s="225">
        <v>2</v>
      </c>
    </row>
    <row r="21" spans="3:4">
      <c r="C21">
        <v>55</v>
      </c>
      <c r="D21" s="225">
        <v>2</v>
      </c>
    </row>
    <row r="22" spans="3:4">
      <c r="C22">
        <v>54</v>
      </c>
      <c r="D22" s="225">
        <v>2</v>
      </c>
    </row>
    <row r="23" spans="3:4">
      <c r="C23">
        <v>53</v>
      </c>
      <c r="D23" s="225">
        <v>2</v>
      </c>
    </row>
    <row r="24" spans="3:4">
      <c r="C24">
        <v>52</v>
      </c>
      <c r="D24" s="225">
        <v>2</v>
      </c>
    </row>
    <row r="25" spans="3:4">
      <c r="C25">
        <v>51</v>
      </c>
      <c r="D25" s="225">
        <v>2</v>
      </c>
    </row>
    <row r="26" spans="3:4">
      <c r="C26">
        <v>50</v>
      </c>
      <c r="D26" s="225">
        <v>2</v>
      </c>
    </row>
    <row r="27" spans="3:4">
      <c r="C27">
        <v>49</v>
      </c>
      <c r="D27" s="225">
        <v>2</v>
      </c>
    </row>
    <row r="28" spans="3:4">
      <c r="C28">
        <v>48</v>
      </c>
      <c r="D28" s="225">
        <v>2</v>
      </c>
    </row>
    <row r="29" spans="3:4">
      <c r="C29">
        <v>47</v>
      </c>
      <c r="D29" s="225">
        <v>2</v>
      </c>
    </row>
    <row r="30" spans="3:4">
      <c r="C30">
        <v>46</v>
      </c>
      <c r="D30" s="225">
        <v>2</v>
      </c>
    </row>
    <row r="31" spans="3:4">
      <c r="C31">
        <v>45</v>
      </c>
      <c r="D31" s="225">
        <v>2</v>
      </c>
    </row>
    <row r="32" spans="3:4">
      <c r="C32">
        <v>44</v>
      </c>
      <c r="D32" s="225">
        <v>2</v>
      </c>
    </row>
    <row r="33" spans="3:4">
      <c r="C33">
        <v>43</v>
      </c>
      <c r="D33" s="225">
        <v>2</v>
      </c>
    </row>
    <row r="34" spans="3:4">
      <c r="C34">
        <v>42</v>
      </c>
      <c r="D34" s="225">
        <v>2</v>
      </c>
    </row>
    <row r="35" spans="3:4">
      <c r="C35">
        <v>41</v>
      </c>
      <c r="D35" s="225">
        <v>2</v>
      </c>
    </row>
    <row r="36" spans="3:4">
      <c r="C36">
        <v>40</v>
      </c>
      <c r="D36" s="225">
        <v>2</v>
      </c>
    </row>
    <row r="37" spans="3:4">
      <c r="C37">
        <v>39</v>
      </c>
      <c r="D37" s="221">
        <v>3</v>
      </c>
    </row>
    <row r="38" spans="3:4">
      <c r="C38">
        <v>38</v>
      </c>
      <c r="D38" s="221">
        <v>3</v>
      </c>
    </row>
    <row r="39" spans="3:4">
      <c r="C39">
        <v>37</v>
      </c>
      <c r="D39" s="221">
        <v>3</v>
      </c>
    </row>
    <row r="40" spans="3:4">
      <c r="C40">
        <v>36</v>
      </c>
      <c r="D40" s="221">
        <v>3</v>
      </c>
    </row>
    <row r="41" spans="3:4">
      <c r="C41">
        <v>35</v>
      </c>
      <c r="D41" s="221">
        <v>3</v>
      </c>
    </row>
    <row r="42" spans="3:4">
      <c r="C42">
        <v>34</v>
      </c>
      <c r="D42" s="221">
        <v>3</v>
      </c>
    </row>
    <row r="43" spans="3:4">
      <c r="C43">
        <v>33</v>
      </c>
      <c r="D43" s="221">
        <v>3</v>
      </c>
    </row>
    <row r="44" spans="3:4">
      <c r="C44">
        <v>32</v>
      </c>
      <c r="D44" s="221">
        <v>3</v>
      </c>
    </row>
    <row r="45" spans="3:4">
      <c r="C45">
        <v>31</v>
      </c>
      <c r="D45" s="221">
        <v>3</v>
      </c>
    </row>
    <row r="46" spans="3:4">
      <c r="C46">
        <v>30</v>
      </c>
      <c r="D46" s="221">
        <v>3</v>
      </c>
    </row>
    <row r="47" spans="3:4">
      <c r="C47">
        <v>29</v>
      </c>
      <c r="D47" s="221">
        <v>3</v>
      </c>
    </row>
    <row r="48" spans="3:4">
      <c r="C48">
        <v>28</v>
      </c>
      <c r="D48" s="221">
        <v>3</v>
      </c>
    </row>
    <row r="49" spans="3:4">
      <c r="C49">
        <v>27</v>
      </c>
      <c r="D49" s="221">
        <v>3</v>
      </c>
    </row>
    <row r="50" spans="3:4">
      <c r="C50">
        <v>26</v>
      </c>
      <c r="D50" s="221">
        <v>3</v>
      </c>
    </row>
    <row r="51" spans="3:4">
      <c r="C51">
        <v>25</v>
      </c>
      <c r="D51" s="221">
        <v>3</v>
      </c>
    </row>
    <row r="52" spans="3:4">
      <c r="C52">
        <v>24</v>
      </c>
      <c r="D52" s="221">
        <v>3</v>
      </c>
    </row>
    <row r="53" spans="3:4">
      <c r="C53">
        <v>23</v>
      </c>
      <c r="D53" s="221">
        <v>3</v>
      </c>
    </row>
    <row r="54" spans="3:4">
      <c r="C54">
        <v>22</v>
      </c>
      <c r="D54" s="221">
        <v>3</v>
      </c>
    </row>
    <row r="55" spans="3:4">
      <c r="C55">
        <v>21</v>
      </c>
      <c r="D55" s="221">
        <v>3</v>
      </c>
    </row>
    <row r="56" spans="3:4">
      <c r="C56">
        <v>20</v>
      </c>
      <c r="D56" s="221">
        <v>3</v>
      </c>
    </row>
    <row r="57" spans="3:4">
      <c r="C57">
        <v>19</v>
      </c>
      <c r="D57" s="221">
        <v>3</v>
      </c>
    </row>
    <row r="58" spans="3:4">
      <c r="C58">
        <v>18</v>
      </c>
      <c r="D58" s="221">
        <v>3</v>
      </c>
    </row>
    <row r="59" spans="3:4">
      <c r="C59">
        <v>17</v>
      </c>
      <c r="D59" s="221">
        <v>3</v>
      </c>
    </row>
    <row r="60" spans="3:4">
      <c r="C60">
        <v>16</v>
      </c>
      <c r="D60" s="221">
        <v>3</v>
      </c>
    </row>
    <row r="61" spans="3:4">
      <c r="C61">
        <v>15</v>
      </c>
      <c r="D61" s="221">
        <v>3</v>
      </c>
    </row>
    <row r="62" spans="3:4">
      <c r="C62">
        <v>14</v>
      </c>
      <c r="D62" s="221">
        <v>3</v>
      </c>
    </row>
    <row r="63" spans="3:4">
      <c r="C63">
        <v>13</v>
      </c>
      <c r="D63" s="221">
        <v>3</v>
      </c>
    </row>
    <row r="64" spans="3:4">
      <c r="C64">
        <v>12</v>
      </c>
      <c r="D64" s="221">
        <v>3</v>
      </c>
    </row>
    <row r="65" spans="3:4">
      <c r="C65">
        <v>11</v>
      </c>
      <c r="D65" s="221">
        <v>3</v>
      </c>
    </row>
    <row r="66" spans="3:4">
      <c r="C66">
        <v>10</v>
      </c>
      <c r="D66" s="221">
        <v>3</v>
      </c>
    </row>
    <row r="67" spans="3:4">
      <c r="C67">
        <v>9</v>
      </c>
      <c r="D67" s="221">
        <v>3</v>
      </c>
    </row>
    <row r="68" spans="3:4">
      <c r="C68">
        <v>8</v>
      </c>
      <c r="D68" s="221">
        <v>3</v>
      </c>
    </row>
    <row r="69" spans="3:4">
      <c r="C69">
        <v>7</v>
      </c>
      <c r="D69" s="221">
        <v>3</v>
      </c>
    </row>
    <row r="70" spans="3:4">
      <c r="C70">
        <v>6</v>
      </c>
      <c r="D70" s="222">
        <v>4</v>
      </c>
    </row>
    <row r="71" spans="3:4">
      <c r="C71">
        <v>5</v>
      </c>
      <c r="D71" s="223">
        <v>5</v>
      </c>
    </row>
    <row r="72" spans="3:4">
      <c r="C72">
        <v>4</v>
      </c>
      <c r="D72" s="223">
        <v>5</v>
      </c>
    </row>
    <row r="73" spans="3:4">
      <c r="C73">
        <v>3</v>
      </c>
      <c r="D73" s="223">
        <v>5</v>
      </c>
    </row>
    <row r="74" spans="3:4">
      <c r="C74">
        <v>2</v>
      </c>
      <c r="D74" s="223">
        <v>5</v>
      </c>
    </row>
    <row r="75" spans="3:4">
      <c r="C75">
        <v>1</v>
      </c>
      <c r="D75" s="223">
        <v>5</v>
      </c>
    </row>
    <row r="76" spans="3:4">
      <c r="C76">
        <v>0</v>
      </c>
      <c r="D76" s="223">
        <v>5</v>
      </c>
    </row>
  </sheetData>
  <mergeCells count="6">
    <mergeCell ref="M1:N1"/>
    <mergeCell ref="A1:B1"/>
    <mergeCell ref="C1:D1"/>
    <mergeCell ref="E1:F1"/>
    <mergeCell ref="G1:H1"/>
    <mergeCell ref="I1:J1"/>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FF00"/>
  </sheetPr>
  <dimension ref="A1:AY29"/>
  <sheetViews>
    <sheetView workbookViewId="0">
      <pane xSplit="1" ySplit="3" topLeftCell="B4" activePane="bottomRight" state="frozen"/>
      <selection activeCell="H5" sqref="H5"/>
      <selection pane="topRight" activeCell="H5" sqref="H5"/>
      <selection pane="bottomLeft" activeCell="H5" sqref="H5"/>
      <selection pane="bottomRight" activeCell="H5" sqref="H5"/>
    </sheetView>
  </sheetViews>
  <sheetFormatPr defaultRowHeight="13.5"/>
  <cols>
    <col min="1" max="1" width="3.5" style="2" bestFit="1" customWidth="1"/>
    <col min="2" max="7" width="9" style="2"/>
    <col min="8" max="8" width="0.625" style="3" customWidth="1"/>
    <col min="9" max="13" width="9" style="2"/>
    <col min="14" max="14" width="9.25" style="2" bestFit="1" customWidth="1"/>
    <col min="15" max="15" width="0.625" style="3" customWidth="1"/>
    <col min="16" max="19" width="9" style="2"/>
    <col min="20" max="20" width="9.25" style="2" bestFit="1" customWidth="1"/>
    <col min="21" max="24" width="9" style="2"/>
    <col min="25" max="25" width="9.25" style="2" bestFit="1" customWidth="1"/>
    <col min="26" max="26" width="9" style="2"/>
    <col min="27" max="28" width="9" style="4"/>
    <col min="29" max="29" width="17.25" style="2" bestFit="1" customWidth="1"/>
    <col min="30" max="16384" width="9" style="2"/>
  </cols>
  <sheetData>
    <row r="1" spans="1:51">
      <c r="A1" s="2">
        <v>1</v>
      </c>
      <c r="B1" s="2">
        <v>2</v>
      </c>
      <c r="C1" s="2">
        <v>3</v>
      </c>
      <c r="D1" s="2">
        <v>4</v>
      </c>
      <c r="E1" s="2">
        <v>5</v>
      </c>
      <c r="F1" s="2">
        <v>6</v>
      </c>
      <c r="G1" s="2">
        <v>7</v>
      </c>
      <c r="I1" s="2">
        <v>9</v>
      </c>
      <c r="J1" s="2">
        <v>10</v>
      </c>
      <c r="K1" s="2">
        <v>11</v>
      </c>
      <c r="L1" s="2">
        <v>12</v>
      </c>
      <c r="M1" s="2">
        <v>13</v>
      </c>
      <c r="N1" s="2">
        <v>14</v>
      </c>
      <c r="P1" s="2">
        <v>16</v>
      </c>
      <c r="Q1" s="2">
        <v>17</v>
      </c>
      <c r="R1" s="2">
        <v>18</v>
      </c>
      <c r="S1" s="2">
        <v>19</v>
      </c>
      <c r="T1" s="2">
        <v>20</v>
      </c>
      <c r="U1" s="2">
        <v>21</v>
      </c>
      <c r="V1" s="2">
        <v>22</v>
      </c>
      <c r="W1" s="2">
        <v>23</v>
      </c>
      <c r="X1" s="2">
        <v>24</v>
      </c>
      <c r="Y1" s="2">
        <v>25</v>
      </c>
      <c r="Z1" s="2">
        <v>26</v>
      </c>
      <c r="AA1" s="4">
        <v>27</v>
      </c>
      <c r="AB1" s="4">
        <v>28</v>
      </c>
      <c r="AC1" s="2">
        <v>29</v>
      </c>
      <c r="AD1" s="4">
        <v>30</v>
      </c>
    </row>
    <row r="2" spans="1:51">
      <c r="B2" s="2" t="s">
        <v>37</v>
      </c>
      <c r="I2" s="2" t="s">
        <v>38</v>
      </c>
      <c r="P2" s="2" t="s">
        <v>39</v>
      </c>
    </row>
    <row r="3" spans="1:51">
      <c r="B3" s="2" t="s">
        <v>40</v>
      </c>
      <c r="C3" s="2" t="s">
        <v>41</v>
      </c>
      <c r="D3" s="2" t="s">
        <v>42</v>
      </c>
      <c r="E3" s="2" t="s">
        <v>43</v>
      </c>
      <c r="F3" s="2" t="s">
        <v>44</v>
      </c>
      <c r="G3" s="2" t="s">
        <v>45</v>
      </c>
      <c r="I3" s="2" t="s">
        <v>40</v>
      </c>
      <c r="J3" s="2" t="s">
        <v>41</v>
      </c>
      <c r="K3" s="2" t="s">
        <v>42</v>
      </c>
      <c r="L3" s="2" t="s">
        <v>43</v>
      </c>
      <c r="M3" s="2" t="s">
        <v>44</v>
      </c>
      <c r="N3" s="2" t="s">
        <v>45</v>
      </c>
      <c r="P3" s="2" t="s">
        <v>40</v>
      </c>
      <c r="Q3" s="2" t="s">
        <v>41</v>
      </c>
      <c r="R3" s="2" t="s">
        <v>42</v>
      </c>
      <c r="S3" s="2" t="s">
        <v>43</v>
      </c>
      <c r="T3" s="2" t="s">
        <v>45</v>
      </c>
      <c r="X3" s="2" t="s">
        <v>46</v>
      </c>
      <c r="Y3" s="2" t="s">
        <v>47</v>
      </c>
      <c r="Z3" s="2" t="s">
        <v>48</v>
      </c>
      <c r="AA3" s="4" t="s">
        <v>49</v>
      </c>
      <c r="AB3" s="4" t="s">
        <v>50</v>
      </c>
      <c r="AC3" s="5" t="s">
        <v>51</v>
      </c>
    </row>
    <row r="4" spans="1:51" ht="18.75">
      <c r="A4" s="2">
        <v>13</v>
      </c>
      <c r="B4" s="6">
        <v>9.9</v>
      </c>
      <c r="C4" s="6">
        <v>25</v>
      </c>
      <c r="D4" s="7">
        <v>19000</v>
      </c>
      <c r="E4" s="7">
        <v>25000</v>
      </c>
      <c r="F4" s="7"/>
      <c r="G4" s="7">
        <v>530000</v>
      </c>
      <c r="I4" s="6"/>
      <c r="J4" s="6"/>
      <c r="K4" s="7"/>
      <c r="L4" s="7"/>
      <c r="M4" s="7"/>
      <c r="N4" s="7"/>
      <c r="P4" s="6">
        <v>1.2</v>
      </c>
      <c r="Q4" s="6">
        <v>3.7</v>
      </c>
      <c r="R4" s="7">
        <v>3500</v>
      </c>
      <c r="S4" s="7">
        <v>3400</v>
      </c>
      <c r="T4" s="7">
        <v>70000</v>
      </c>
      <c r="U4" s="2" t="s">
        <v>52</v>
      </c>
      <c r="V4" s="2" t="s">
        <v>53</v>
      </c>
      <c r="W4" s="2" t="s">
        <v>54</v>
      </c>
      <c r="AA4" s="4" t="str">
        <f>IF(A4&gt;10,"平成"&amp;A4&amp;"年度","令和"&amp;A4&amp;"年度")</f>
        <v>平成13年度</v>
      </c>
      <c r="AB4" s="4" t="str">
        <f>IF(A5&gt;10,"平成"&amp;A5&amp;"年度","令和"&amp;A5&amp;"年度")</f>
        <v>平成14年度</v>
      </c>
      <c r="AC4" s="8"/>
      <c r="AD4" s="9"/>
      <c r="AE4" s="7"/>
      <c r="AF4" s="9"/>
      <c r="AG4" s="9"/>
      <c r="AH4" s="9"/>
      <c r="AI4" s="9"/>
      <c r="AJ4" s="9"/>
      <c r="AK4" s="9"/>
      <c r="AL4" s="9"/>
      <c r="AM4" s="9"/>
      <c r="AN4" s="9"/>
      <c r="AO4" s="9"/>
      <c r="AP4" s="9"/>
      <c r="AQ4" s="9"/>
      <c r="AR4" s="9"/>
      <c r="AS4" s="9"/>
      <c r="AT4" s="9"/>
      <c r="AU4" s="9"/>
      <c r="AV4" s="9"/>
      <c r="AW4" s="9"/>
      <c r="AX4" s="9"/>
      <c r="AY4" s="9"/>
    </row>
    <row r="5" spans="1:51" ht="18.75">
      <c r="A5" s="2">
        <v>14</v>
      </c>
      <c r="B5" s="6">
        <v>9.9</v>
      </c>
      <c r="C5" s="6">
        <v>25</v>
      </c>
      <c r="D5" s="7">
        <v>19000</v>
      </c>
      <c r="E5" s="7">
        <v>25000</v>
      </c>
      <c r="F5" s="7"/>
      <c r="G5" s="7">
        <v>530000</v>
      </c>
      <c r="I5" s="6"/>
      <c r="J5" s="6"/>
      <c r="K5" s="7"/>
      <c r="L5" s="7"/>
      <c r="M5" s="7"/>
      <c r="N5" s="7"/>
      <c r="P5" s="6">
        <v>1.2</v>
      </c>
      <c r="Q5" s="6">
        <v>3.7</v>
      </c>
      <c r="R5" s="7">
        <v>3500</v>
      </c>
      <c r="S5" s="7">
        <v>3400</v>
      </c>
      <c r="T5" s="7">
        <v>70000</v>
      </c>
      <c r="U5" s="2" t="s">
        <v>55</v>
      </c>
      <c r="V5" s="2" t="s">
        <v>56</v>
      </c>
      <c r="W5" s="2" t="s">
        <v>57</v>
      </c>
      <c r="AA5" s="4" t="str">
        <f t="shared" ref="AA5:AA29" si="0">IF(A5&gt;10,"平成"&amp;A5&amp;"年度","令和"&amp;A5&amp;"年度")</f>
        <v>平成14年度</v>
      </c>
      <c r="AB5" s="4" t="str">
        <f t="shared" ref="AB5:AB28" si="1">IF(A6&gt;10,"平成"&amp;A6&amp;"年度","令和"&amp;A6&amp;"年度")</f>
        <v>平成15年度</v>
      </c>
      <c r="AC5" s="10" t="s">
        <v>58</v>
      </c>
      <c r="AD5" s="11"/>
      <c r="AE5" s="7"/>
      <c r="AF5" s="11"/>
      <c r="AG5" s="11"/>
      <c r="AH5" s="11"/>
      <c r="AI5" s="11"/>
      <c r="AJ5" s="11"/>
      <c r="AK5" s="11"/>
      <c r="AL5" s="11"/>
      <c r="AM5" s="11"/>
      <c r="AN5" s="11"/>
      <c r="AO5" s="11"/>
      <c r="AP5" s="11"/>
      <c r="AQ5" s="11"/>
      <c r="AR5" s="11"/>
      <c r="AS5" s="11"/>
      <c r="AT5" s="11"/>
      <c r="AU5" s="11"/>
      <c r="AV5" s="11"/>
      <c r="AW5" s="11"/>
      <c r="AX5" s="11"/>
      <c r="AY5" s="11"/>
    </row>
    <row r="6" spans="1:51" ht="18.75">
      <c r="A6" s="2">
        <v>15</v>
      </c>
      <c r="B6" s="6">
        <v>9.9</v>
      </c>
      <c r="C6" s="6">
        <v>23</v>
      </c>
      <c r="D6" s="7">
        <v>19000</v>
      </c>
      <c r="E6" s="7">
        <v>25000</v>
      </c>
      <c r="F6" s="7"/>
      <c r="G6" s="7">
        <v>530000</v>
      </c>
      <c r="I6" s="6"/>
      <c r="J6" s="6"/>
      <c r="K6" s="7"/>
      <c r="L6" s="7"/>
      <c r="M6" s="7"/>
      <c r="N6" s="7"/>
      <c r="P6" s="6">
        <v>1.2</v>
      </c>
      <c r="Q6" s="6">
        <v>3.7</v>
      </c>
      <c r="R6" s="7">
        <v>3500</v>
      </c>
      <c r="S6" s="7">
        <v>3400</v>
      </c>
      <c r="T6" s="7">
        <v>80000</v>
      </c>
      <c r="U6" s="2" t="s">
        <v>59</v>
      </c>
      <c r="V6" s="2" t="s">
        <v>60</v>
      </c>
      <c r="W6" s="2" t="s">
        <v>61</v>
      </c>
      <c r="AA6" s="4" t="str">
        <f t="shared" si="0"/>
        <v>平成15年度</v>
      </c>
      <c r="AB6" s="4" t="str">
        <f t="shared" si="1"/>
        <v>平成16年度</v>
      </c>
      <c r="AC6" s="8" t="s">
        <v>62</v>
      </c>
      <c r="AE6" s="7"/>
    </row>
    <row r="7" spans="1:51" ht="18.75">
      <c r="A7" s="2">
        <v>16</v>
      </c>
      <c r="B7" s="6">
        <v>10.4</v>
      </c>
      <c r="C7" s="6">
        <v>22</v>
      </c>
      <c r="D7" s="7">
        <v>22300</v>
      </c>
      <c r="E7" s="7">
        <v>28300</v>
      </c>
      <c r="F7" s="7"/>
      <c r="G7" s="7">
        <v>530000</v>
      </c>
      <c r="I7" s="6"/>
      <c r="J7" s="6"/>
      <c r="K7" s="7"/>
      <c r="L7" s="7"/>
      <c r="M7" s="7"/>
      <c r="N7" s="7"/>
      <c r="P7" s="6">
        <v>2.4</v>
      </c>
      <c r="Q7" s="6">
        <v>3.2</v>
      </c>
      <c r="R7" s="7">
        <v>6000</v>
      </c>
      <c r="S7" s="7">
        <v>5900</v>
      </c>
      <c r="T7" s="7">
        <v>80000</v>
      </c>
      <c r="U7" s="2" t="s">
        <v>63</v>
      </c>
      <c r="V7" s="2" t="s">
        <v>64</v>
      </c>
      <c r="W7" s="2" t="s">
        <v>65</v>
      </c>
      <c r="AA7" s="4" t="str">
        <f t="shared" si="0"/>
        <v>平成16年度</v>
      </c>
      <c r="AB7" s="4" t="str">
        <f t="shared" si="1"/>
        <v>平成17年度</v>
      </c>
      <c r="AC7" s="2" t="s">
        <v>66</v>
      </c>
      <c r="AE7" s="7"/>
    </row>
    <row r="8" spans="1:51" ht="18.75">
      <c r="A8" s="2">
        <v>17</v>
      </c>
      <c r="B8" s="6">
        <v>10.4</v>
      </c>
      <c r="C8" s="6">
        <v>22</v>
      </c>
      <c r="D8" s="7">
        <v>22300</v>
      </c>
      <c r="E8" s="7">
        <v>28300</v>
      </c>
      <c r="F8" s="7"/>
      <c r="G8" s="7">
        <v>530000</v>
      </c>
      <c r="I8" s="6"/>
      <c r="J8" s="6"/>
      <c r="K8" s="7"/>
      <c r="L8" s="7"/>
      <c r="M8" s="7"/>
      <c r="N8" s="7"/>
      <c r="P8" s="6">
        <v>2.4</v>
      </c>
      <c r="Q8" s="6">
        <v>3.2</v>
      </c>
      <c r="R8" s="7">
        <v>6000</v>
      </c>
      <c r="S8" s="7">
        <v>5900</v>
      </c>
      <c r="T8" s="7">
        <v>80000</v>
      </c>
      <c r="U8" s="2" t="s">
        <v>67</v>
      </c>
      <c r="V8" s="2" t="s">
        <v>68</v>
      </c>
      <c r="W8" s="2" t="s">
        <v>69</v>
      </c>
      <c r="AA8" s="4" t="str">
        <f t="shared" si="0"/>
        <v>平成17年度</v>
      </c>
      <c r="AB8" s="4" t="str">
        <f t="shared" si="1"/>
        <v>平成18年度</v>
      </c>
      <c r="AE8" s="7"/>
    </row>
    <row r="9" spans="1:51" ht="18.75">
      <c r="A9" s="2">
        <v>18</v>
      </c>
      <c r="B9" s="6">
        <v>10.4</v>
      </c>
      <c r="C9" s="6">
        <v>22</v>
      </c>
      <c r="D9" s="7">
        <v>22300</v>
      </c>
      <c r="E9" s="7">
        <v>28300</v>
      </c>
      <c r="F9" s="7"/>
      <c r="G9" s="7">
        <v>530000</v>
      </c>
      <c r="I9" s="6"/>
      <c r="J9" s="6"/>
      <c r="K9" s="7"/>
      <c r="L9" s="7"/>
      <c r="M9" s="7"/>
      <c r="N9" s="7"/>
      <c r="P9" s="6">
        <v>2.4</v>
      </c>
      <c r="Q9" s="6">
        <v>3.2</v>
      </c>
      <c r="R9" s="7">
        <v>6000</v>
      </c>
      <c r="S9" s="7">
        <v>5900</v>
      </c>
      <c r="T9" s="7">
        <v>90000</v>
      </c>
      <c r="U9" s="2" t="s">
        <v>70</v>
      </c>
      <c r="V9" s="2" t="s">
        <v>71</v>
      </c>
      <c r="W9" s="2" t="s">
        <v>72</v>
      </c>
      <c r="AA9" s="4" t="str">
        <f t="shared" si="0"/>
        <v>平成18年度</v>
      </c>
      <c r="AB9" s="4" t="str">
        <f t="shared" si="1"/>
        <v>平成19年度</v>
      </c>
      <c r="AE9" s="7"/>
    </row>
    <row r="10" spans="1:51" ht="18.75">
      <c r="A10" s="2">
        <v>19</v>
      </c>
      <c r="B10" s="6">
        <v>10.4</v>
      </c>
      <c r="C10" s="6">
        <v>22</v>
      </c>
      <c r="D10" s="7">
        <v>22300</v>
      </c>
      <c r="E10" s="7">
        <v>28300</v>
      </c>
      <c r="F10" s="7"/>
      <c r="G10" s="7">
        <v>560000</v>
      </c>
      <c r="I10" s="6"/>
      <c r="J10" s="6"/>
      <c r="K10" s="7"/>
      <c r="L10" s="7"/>
      <c r="M10" s="7"/>
      <c r="N10" s="7"/>
      <c r="P10" s="6">
        <v>2.4</v>
      </c>
      <c r="Q10" s="6">
        <v>3.2</v>
      </c>
      <c r="R10" s="7">
        <v>6000</v>
      </c>
      <c r="S10" s="7">
        <v>5900</v>
      </c>
      <c r="T10" s="7">
        <v>90000</v>
      </c>
      <c r="U10" s="2" t="s">
        <v>73</v>
      </c>
      <c r="V10" s="2" t="s">
        <v>74</v>
      </c>
      <c r="W10" s="2" t="s">
        <v>75</v>
      </c>
      <c r="AA10" s="4" t="str">
        <f t="shared" si="0"/>
        <v>平成19年度</v>
      </c>
      <c r="AB10" s="4" t="str">
        <f t="shared" si="1"/>
        <v>平成20年度</v>
      </c>
      <c r="AE10" s="7"/>
    </row>
    <row r="11" spans="1:51" ht="18.75">
      <c r="A11" s="2">
        <v>20</v>
      </c>
      <c r="B11" s="6">
        <v>8.3000000000000007</v>
      </c>
      <c r="C11" s="6">
        <v>17.5</v>
      </c>
      <c r="D11" s="7">
        <v>17800</v>
      </c>
      <c r="E11" s="7">
        <v>22500</v>
      </c>
      <c r="F11" s="7">
        <v>11250</v>
      </c>
      <c r="G11" s="7">
        <v>470000</v>
      </c>
      <c r="I11" s="6">
        <v>2.1</v>
      </c>
      <c r="J11" s="6">
        <v>4.5</v>
      </c>
      <c r="K11" s="7">
        <v>4500</v>
      </c>
      <c r="L11" s="7">
        <v>5800</v>
      </c>
      <c r="M11" s="7">
        <v>2900</v>
      </c>
      <c r="N11" s="7">
        <v>120000</v>
      </c>
      <c r="P11" s="6">
        <v>2.4</v>
      </c>
      <c r="Q11" s="6">
        <v>3.2</v>
      </c>
      <c r="R11" s="7">
        <v>6000</v>
      </c>
      <c r="S11" s="7">
        <v>5900</v>
      </c>
      <c r="T11" s="7">
        <v>90000</v>
      </c>
      <c r="U11" s="2" t="s">
        <v>76</v>
      </c>
      <c r="V11" s="2" t="s">
        <v>77</v>
      </c>
      <c r="W11" s="2" t="s">
        <v>78</v>
      </c>
      <c r="AA11" s="4" t="str">
        <f t="shared" si="0"/>
        <v>平成20年度</v>
      </c>
      <c r="AB11" s="4" t="str">
        <f t="shared" si="1"/>
        <v>平成21年度</v>
      </c>
      <c r="AE11" s="7"/>
    </row>
    <row r="12" spans="1:51" ht="18.75">
      <c r="A12" s="2">
        <v>21</v>
      </c>
      <c r="B12" s="6">
        <v>8.3000000000000007</v>
      </c>
      <c r="C12" s="6">
        <v>9</v>
      </c>
      <c r="D12" s="7">
        <v>19500</v>
      </c>
      <c r="E12" s="7">
        <v>23800</v>
      </c>
      <c r="F12" s="7">
        <v>11900</v>
      </c>
      <c r="G12" s="7">
        <v>470000</v>
      </c>
      <c r="I12" s="6">
        <v>2.1</v>
      </c>
      <c r="J12" s="6">
        <v>3</v>
      </c>
      <c r="K12" s="7">
        <v>4900</v>
      </c>
      <c r="L12" s="7">
        <v>5800</v>
      </c>
      <c r="M12" s="7">
        <v>2900</v>
      </c>
      <c r="N12" s="7">
        <v>120000</v>
      </c>
      <c r="P12" s="6">
        <v>2.4</v>
      </c>
      <c r="Q12" s="6">
        <v>2</v>
      </c>
      <c r="R12" s="7">
        <v>6000</v>
      </c>
      <c r="S12" s="7">
        <v>6300</v>
      </c>
      <c r="T12" s="7">
        <v>100000</v>
      </c>
      <c r="U12" s="2" t="s">
        <v>79</v>
      </c>
      <c r="V12" s="2" t="s">
        <v>80</v>
      </c>
      <c r="W12" s="2" t="s">
        <v>81</v>
      </c>
      <c r="AA12" s="4" t="str">
        <f t="shared" si="0"/>
        <v>平成21年度</v>
      </c>
      <c r="AB12" s="4" t="str">
        <f t="shared" si="1"/>
        <v>平成22年度</v>
      </c>
      <c r="AE12" s="7"/>
    </row>
    <row r="13" spans="1:51" ht="18.75">
      <c r="A13" s="2">
        <v>22</v>
      </c>
      <c r="B13" s="6">
        <v>8.6</v>
      </c>
      <c r="C13" s="6">
        <v>9</v>
      </c>
      <c r="D13" s="7">
        <v>20800</v>
      </c>
      <c r="E13" s="7">
        <v>23800</v>
      </c>
      <c r="F13" s="7">
        <v>11900</v>
      </c>
      <c r="G13" s="7">
        <v>500000</v>
      </c>
      <c r="I13" s="6">
        <v>2.5</v>
      </c>
      <c r="J13" s="6">
        <v>3</v>
      </c>
      <c r="K13" s="7">
        <v>7000</v>
      </c>
      <c r="L13" s="7">
        <v>5800</v>
      </c>
      <c r="M13" s="7">
        <v>2900</v>
      </c>
      <c r="N13" s="7">
        <v>130000</v>
      </c>
      <c r="P13" s="6">
        <v>2.4</v>
      </c>
      <c r="Q13" s="6">
        <v>2</v>
      </c>
      <c r="R13" s="7">
        <v>6000</v>
      </c>
      <c r="S13" s="7">
        <v>6300</v>
      </c>
      <c r="T13" s="7">
        <v>100000</v>
      </c>
      <c r="U13" s="2" t="s">
        <v>82</v>
      </c>
      <c r="V13" s="2" t="s">
        <v>83</v>
      </c>
      <c r="W13" s="2" t="s">
        <v>84</v>
      </c>
      <c r="AA13" s="4" t="str">
        <f t="shared" si="0"/>
        <v>平成22年度</v>
      </c>
      <c r="AB13" s="4" t="str">
        <f t="shared" si="1"/>
        <v>平成23年度</v>
      </c>
      <c r="AE13" s="7"/>
    </row>
    <row r="14" spans="1:51" ht="18.75">
      <c r="A14" s="2">
        <v>23</v>
      </c>
      <c r="B14" s="6">
        <v>8.6</v>
      </c>
      <c r="C14" s="6">
        <v>9</v>
      </c>
      <c r="D14" s="7">
        <v>20800</v>
      </c>
      <c r="E14" s="7">
        <v>23800</v>
      </c>
      <c r="F14" s="7">
        <v>11900</v>
      </c>
      <c r="G14" s="7">
        <v>510000</v>
      </c>
      <c r="I14" s="6">
        <v>2.5</v>
      </c>
      <c r="J14" s="6">
        <v>3</v>
      </c>
      <c r="K14" s="7">
        <v>7000</v>
      </c>
      <c r="L14" s="7">
        <v>5800</v>
      </c>
      <c r="M14" s="7">
        <v>2900</v>
      </c>
      <c r="N14" s="7">
        <v>140000</v>
      </c>
      <c r="P14" s="6">
        <v>2.4</v>
      </c>
      <c r="Q14" s="6">
        <v>2</v>
      </c>
      <c r="R14" s="7">
        <v>6000</v>
      </c>
      <c r="S14" s="7">
        <v>6300</v>
      </c>
      <c r="T14" s="7">
        <v>120000</v>
      </c>
      <c r="U14" s="2" t="s">
        <v>85</v>
      </c>
      <c r="V14" s="2" t="s">
        <v>86</v>
      </c>
      <c r="W14" s="2" t="s">
        <v>87</v>
      </c>
      <c r="AA14" s="4" t="str">
        <f t="shared" si="0"/>
        <v>平成23年度</v>
      </c>
      <c r="AB14" s="4" t="str">
        <f t="shared" si="1"/>
        <v>平成24年度</v>
      </c>
      <c r="AE14" s="7"/>
    </row>
    <row r="15" spans="1:51" ht="18.75">
      <c r="A15" s="2">
        <v>24</v>
      </c>
      <c r="B15" s="6">
        <v>8.6999999999999993</v>
      </c>
      <c r="C15" s="6">
        <v>9</v>
      </c>
      <c r="D15" s="7">
        <v>21400</v>
      </c>
      <c r="E15" s="7">
        <v>23800</v>
      </c>
      <c r="F15" s="7">
        <v>11900</v>
      </c>
      <c r="G15" s="7">
        <v>510000</v>
      </c>
      <c r="I15" s="6">
        <v>2.9</v>
      </c>
      <c r="J15" s="6">
        <v>3</v>
      </c>
      <c r="K15" s="7">
        <v>7900</v>
      </c>
      <c r="L15" s="7">
        <v>5800</v>
      </c>
      <c r="M15" s="7">
        <v>2900</v>
      </c>
      <c r="N15" s="7">
        <v>140000</v>
      </c>
      <c r="P15" s="6">
        <v>2.5</v>
      </c>
      <c r="Q15" s="6">
        <v>2</v>
      </c>
      <c r="R15" s="7">
        <v>6400</v>
      </c>
      <c r="S15" s="7">
        <v>6300</v>
      </c>
      <c r="T15" s="7">
        <v>120000</v>
      </c>
      <c r="U15" s="2" t="s">
        <v>88</v>
      </c>
      <c r="V15" s="2" t="s">
        <v>89</v>
      </c>
      <c r="W15" s="2" t="s">
        <v>90</v>
      </c>
      <c r="AA15" s="4" t="str">
        <f t="shared" si="0"/>
        <v>平成24年度</v>
      </c>
      <c r="AB15" s="4" t="str">
        <f t="shared" si="1"/>
        <v>平成25年度</v>
      </c>
      <c r="AE15" s="7"/>
    </row>
    <row r="16" spans="1:51" ht="18.75">
      <c r="A16" s="2">
        <v>25</v>
      </c>
      <c r="B16" s="6">
        <v>8.6999999999999993</v>
      </c>
      <c r="C16" s="6">
        <v>9</v>
      </c>
      <c r="D16" s="7">
        <v>21400</v>
      </c>
      <c r="E16" s="7">
        <v>23800</v>
      </c>
      <c r="F16" s="7">
        <v>11900</v>
      </c>
      <c r="G16" s="7">
        <v>510000</v>
      </c>
      <c r="I16" s="6">
        <v>2.9</v>
      </c>
      <c r="J16" s="6">
        <v>3</v>
      </c>
      <c r="K16" s="7">
        <v>7900</v>
      </c>
      <c r="L16" s="7">
        <v>5800</v>
      </c>
      <c r="M16" s="7">
        <v>2900</v>
      </c>
      <c r="N16" s="7">
        <v>140000</v>
      </c>
      <c r="P16" s="6">
        <v>2.5</v>
      </c>
      <c r="Q16" s="6">
        <v>2</v>
      </c>
      <c r="R16" s="7">
        <v>6400</v>
      </c>
      <c r="S16" s="7">
        <v>6300</v>
      </c>
      <c r="T16" s="7">
        <v>120000</v>
      </c>
      <c r="U16" s="2" t="s">
        <v>91</v>
      </c>
      <c r="V16" s="2" t="s">
        <v>92</v>
      </c>
      <c r="W16" s="2" t="s">
        <v>93</v>
      </c>
      <c r="AA16" s="4" t="str">
        <f t="shared" si="0"/>
        <v>平成25年度</v>
      </c>
      <c r="AB16" s="4" t="str">
        <f t="shared" si="1"/>
        <v>平成26年度</v>
      </c>
      <c r="AE16" s="7"/>
    </row>
    <row r="17" spans="1:31" ht="18.75">
      <c r="A17" s="2">
        <v>26</v>
      </c>
      <c r="B17" s="6">
        <v>8.6999999999999993</v>
      </c>
      <c r="C17" s="6">
        <v>0</v>
      </c>
      <c r="D17" s="12">
        <v>21400</v>
      </c>
      <c r="E17" s="12">
        <v>23800</v>
      </c>
      <c r="F17" s="12">
        <v>11900</v>
      </c>
      <c r="G17" s="12">
        <v>510000</v>
      </c>
      <c r="I17" s="6">
        <v>2.9</v>
      </c>
      <c r="J17" s="6">
        <v>0</v>
      </c>
      <c r="K17" s="12">
        <v>7900</v>
      </c>
      <c r="L17" s="12">
        <v>5800</v>
      </c>
      <c r="M17" s="12">
        <v>2900</v>
      </c>
      <c r="N17" s="12">
        <v>160000</v>
      </c>
      <c r="P17" s="6">
        <v>2.5</v>
      </c>
      <c r="Q17" s="6">
        <v>0</v>
      </c>
      <c r="R17" s="12">
        <v>6400</v>
      </c>
      <c r="S17" s="12">
        <v>6300</v>
      </c>
      <c r="T17" s="12">
        <v>140000</v>
      </c>
      <c r="U17" s="2" t="s">
        <v>94</v>
      </c>
      <c r="V17" s="2" t="s">
        <v>95</v>
      </c>
      <c r="W17" s="2" t="s">
        <v>96</v>
      </c>
      <c r="X17" s="13">
        <v>330000</v>
      </c>
      <c r="Y17" s="13">
        <v>245000</v>
      </c>
      <c r="Z17" s="7">
        <v>450000</v>
      </c>
      <c r="AA17" s="14" t="str">
        <f t="shared" si="0"/>
        <v>平成26年度</v>
      </c>
      <c r="AB17" s="4" t="str">
        <f t="shared" si="1"/>
        <v>平成27年度</v>
      </c>
      <c r="AE17" s="7"/>
    </row>
    <row r="18" spans="1:31" ht="18.75">
      <c r="A18" s="2">
        <v>27</v>
      </c>
      <c r="B18" s="6">
        <v>7.9</v>
      </c>
      <c r="C18" s="6">
        <v>0</v>
      </c>
      <c r="D18" s="7">
        <v>21400</v>
      </c>
      <c r="E18" s="7">
        <v>23800</v>
      </c>
      <c r="F18" s="7">
        <v>11900</v>
      </c>
      <c r="G18" s="7">
        <v>520000</v>
      </c>
      <c r="I18" s="6">
        <v>2.7</v>
      </c>
      <c r="J18" s="6">
        <v>0</v>
      </c>
      <c r="K18" s="7">
        <v>7900</v>
      </c>
      <c r="L18" s="7">
        <v>5800</v>
      </c>
      <c r="M18" s="7">
        <v>2900</v>
      </c>
      <c r="N18" s="7">
        <v>170000</v>
      </c>
      <c r="P18" s="6">
        <v>2.5</v>
      </c>
      <c r="Q18" s="6">
        <v>0</v>
      </c>
      <c r="R18" s="7">
        <v>6400</v>
      </c>
      <c r="S18" s="7">
        <v>6300</v>
      </c>
      <c r="T18" s="7">
        <v>160000</v>
      </c>
      <c r="U18" s="2" t="s">
        <v>97</v>
      </c>
      <c r="V18" s="2" t="s">
        <v>98</v>
      </c>
      <c r="W18" s="2" t="s">
        <v>99</v>
      </c>
      <c r="X18" s="13">
        <v>330000</v>
      </c>
      <c r="Y18" s="13">
        <v>260000</v>
      </c>
      <c r="Z18" s="7">
        <v>470000</v>
      </c>
      <c r="AA18" s="14" t="str">
        <f t="shared" si="0"/>
        <v>平成27年度</v>
      </c>
      <c r="AB18" s="4" t="str">
        <f t="shared" si="1"/>
        <v>平成28年度</v>
      </c>
      <c r="AE18" s="7"/>
    </row>
    <row r="19" spans="1:31" ht="18.75">
      <c r="A19" s="2">
        <v>28</v>
      </c>
      <c r="B19" s="6">
        <v>7.9</v>
      </c>
      <c r="C19" s="6">
        <v>0</v>
      </c>
      <c r="D19" s="7">
        <v>21400</v>
      </c>
      <c r="E19" s="7">
        <v>23800</v>
      </c>
      <c r="F19" s="7">
        <v>11900</v>
      </c>
      <c r="G19" s="7">
        <v>540000</v>
      </c>
      <c r="I19" s="6">
        <v>2.7</v>
      </c>
      <c r="J19" s="6">
        <v>0</v>
      </c>
      <c r="K19" s="7">
        <v>7900</v>
      </c>
      <c r="L19" s="7">
        <v>5800</v>
      </c>
      <c r="M19" s="7">
        <v>2900</v>
      </c>
      <c r="N19" s="7">
        <v>190000</v>
      </c>
      <c r="P19" s="6">
        <v>2.5</v>
      </c>
      <c r="Q19" s="6">
        <v>0</v>
      </c>
      <c r="R19" s="7">
        <v>6400</v>
      </c>
      <c r="S19" s="7">
        <v>6300</v>
      </c>
      <c r="T19" s="7">
        <v>160000</v>
      </c>
      <c r="U19" s="2" t="s">
        <v>100</v>
      </c>
      <c r="V19" s="2" t="s">
        <v>101</v>
      </c>
      <c r="W19" s="2" t="s">
        <v>102</v>
      </c>
      <c r="X19" s="13">
        <v>330000</v>
      </c>
      <c r="Y19" s="13">
        <v>265000</v>
      </c>
      <c r="Z19" s="7">
        <v>480000</v>
      </c>
      <c r="AA19" s="14" t="str">
        <f t="shared" si="0"/>
        <v>平成28年度</v>
      </c>
      <c r="AB19" s="4" t="str">
        <f t="shared" si="1"/>
        <v>平成29年度</v>
      </c>
      <c r="AE19" s="7"/>
    </row>
    <row r="20" spans="1:31" ht="18.75">
      <c r="A20" s="2">
        <v>29</v>
      </c>
      <c r="B20" s="6">
        <v>7.9</v>
      </c>
      <c r="C20" s="6">
        <v>0</v>
      </c>
      <c r="D20" s="7">
        <v>21400</v>
      </c>
      <c r="E20" s="7">
        <v>23800</v>
      </c>
      <c r="F20" s="7">
        <v>11900</v>
      </c>
      <c r="G20" s="7">
        <v>540000</v>
      </c>
      <c r="I20" s="6">
        <v>2.7</v>
      </c>
      <c r="J20" s="6">
        <v>0</v>
      </c>
      <c r="K20" s="7">
        <v>7900</v>
      </c>
      <c r="L20" s="7">
        <v>5800</v>
      </c>
      <c r="M20" s="7">
        <v>2900</v>
      </c>
      <c r="N20" s="7">
        <v>190000</v>
      </c>
      <c r="P20" s="6">
        <v>2.5</v>
      </c>
      <c r="Q20" s="6">
        <v>0</v>
      </c>
      <c r="R20" s="7">
        <v>6400</v>
      </c>
      <c r="S20" s="7">
        <v>6300</v>
      </c>
      <c r="T20" s="7">
        <v>160000</v>
      </c>
      <c r="U20" s="2" t="s">
        <v>103</v>
      </c>
      <c r="V20" s="2" t="s">
        <v>104</v>
      </c>
      <c r="W20" s="2" t="s">
        <v>105</v>
      </c>
      <c r="X20" s="13">
        <v>330000</v>
      </c>
      <c r="Y20" s="13">
        <v>270000</v>
      </c>
      <c r="Z20" s="7">
        <v>490000</v>
      </c>
      <c r="AA20" s="14" t="str">
        <f t="shared" si="0"/>
        <v>平成29年度</v>
      </c>
      <c r="AB20" s="4" t="str">
        <f t="shared" si="1"/>
        <v>平成30年度</v>
      </c>
      <c r="AE20" s="7"/>
    </row>
    <row r="21" spans="1:31" s="15" customFormat="1" ht="18.75">
      <c r="A21" s="15">
        <v>30</v>
      </c>
      <c r="B21" s="16">
        <v>7.9</v>
      </c>
      <c r="C21" s="16">
        <v>0</v>
      </c>
      <c r="D21" s="7">
        <v>21400</v>
      </c>
      <c r="E21" s="7">
        <v>21800</v>
      </c>
      <c r="F21" s="7">
        <v>10900</v>
      </c>
      <c r="G21" s="7">
        <v>580000</v>
      </c>
      <c r="H21" s="17"/>
      <c r="I21" s="16">
        <v>2.7</v>
      </c>
      <c r="J21" s="16">
        <v>0</v>
      </c>
      <c r="K21" s="7">
        <v>7900</v>
      </c>
      <c r="L21" s="7">
        <v>5800</v>
      </c>
      <c r="M21" s="7">
        <v>2900</v>
      </c>
      <c r="N21" s="7">
        <v>190000</v>
      </c>
      <c r="O21" s="17"/>
      <c r="P21" s="16">
        <v>2.5</v>
      </c>
      <c r="Q21" s="16">
        <v>0</v>
      </c>
      <c r="R21" s="7">
        <v>6400</v>
      </c>
      <c r="S21" s="7">
        <v>6300</v>
      </c>
      <c r="T21" s="7">
        <v>160000</v>
      </c>
      <c r="U21" s="15" t="s">
        <v>106</v>
      </c>
      <c r="V21" s="15" t="s">
        <v>107</v>
      </c>
      <c r="W21" s="15" t="s">
        <v>108</v>
      </c>
      <c r="X21" s="18">
        <v>330000</v>
      </c>
      <c r="Y21" s="18">
        <v>275000</v>
      </c>
      <c r="Z21" s="7">
        <v>500000</v>
      </c>
      <c r="AA21" s="14" t="str">
        <f t="shared" si="0"/>
        <v>平成30年度</v>
      </c>
      <c r="AB21" s="19" t="str">
        <f t="shared" si="1"/>
        <v>平成31年度</v>
      </c>
      <c r="AE21" s="7"/>
    </row>
    <row r="22" spans="1:31" s="15" customFormat="1" ht="18.75">
      <c r="A22" s="15">
        <v>31</v>
      </c>
      <c r="B22" s="16">
        <v>7.9</v>
      </c>
      <c r="C22" s="16">
        <v>0</v>
      </c>
      <c r="D22" s="7">
        <v>21400</v>
      </c>
      <c r="E22" s="7">
        <v>21800</v>
      </c>
      <c r="F22" s="7">
        <v>10900</v>
      </c>
      <c r="G22" s="7">
        <v>610000</v>
      </c>
      <c r="H22" s="17"/>
      <c r="I22" s="16">
        <v>2.7</v>
      </c>
      <c r="J22" s="16">
        <v>0</v>
      </c>
      <c r="K22" s="7">
        <v>7900</v>
      </c>
      <c r="L22" s="7">
        <v>5800</v>
      </c>
      <c r="M22" s="7">
        <v>2900</v>
      </c>
      <c r="N22" s="7">
        <v>190000</v>
      </c>
      <c r="O22" s="17"/>
      <c r="P22" s="16">
        <v>2.5</v>
      </c>
      <c r="Q22" s="16">
        <v>0</v>
      </c>
      <c r="R22" s="7">
        <v>6400</v>
      </c>
      <c r="S22" s="7">
        <v>6300</v>
      </c>
      <c r="T22" s="7">
        <v>160000</v>
      </c>
      <c r="U22" s="15" t="s">
        <v>109</v>
      </c>
      <c r="V22" s="15" t="s">
        <v>110</v>
      </c>
      <c r="W22" s="15" t="s">
        <v>111</v>
      </c>
      <c r="X22" s="18">
        <v>330000</v>
      </c>
      <c r="Y22" s="18">
        <v>280000</v>
      </c>
      <c r="Z22" s="7">
        <v>510000</v>
      </c>
      <c r="AA22" s="14" t="str">
        <f t="shared" si="0"/>
        <v>平成31年度</v>
      </c>
      <c r="AB22" s="19" t="str">
        <f t="shared" si="1"/>
        <v>令和2年度</v>
      </c>
      <c r="AE22" s="7"/>
    </row>
    <row r="23" spans="1:31" s="15" customFormat="1" ht="18.75">
      <c r="A23" s="15">
        <v>2</v>
      </c>
      <c r="B23" s="16">
        <v>7.9</v>
      </c>
      <c r="C23" s="16">
        <v>0</v>
      </c>
      <c r="D23" s="7">
        <v>21400</v>
      </c>
      <c r="E23" s="7">
        <v>21800</v>
      </c>
      <c r="F23" s="7">
        <v>10900</v>
      </c>
      <c r="G23" s="7">
        <v>630000</v>
      </c>
      <c r="H23" s="17"/>
      <c r="I23" s="16">
        <v>2.7</v>
      </c>
      <c r="J23" s="16">
        <v>0</v>
      </c>
      <c r="K23" s="7">
        <v>7900</v>
      </c>
      <c r="L23" s="7">
        <v>5800</v>
      </c>
      <c r="M23" s="7">
        <v>2900</v>
      </c>
      <c r="N23" s="7">
        <v>190000</v>
      </c>
      <c r="O23" s="17"/>
      <c r="P23" s="16">
        <v>2.5</v>
      </c>
      <c r="Q23" s="16">
        <v>0</v>
      </c>
      <c r="R23" s="7">
        <v>6400</v>
      </c>
      <c r="S23" s="7">
        <v>6300</v>
      </c>
      <c r="T23" s="7">
        <v>170000</v>
      </c>
      <c r="U23" s="15" t="s">
        <v>112</v>
      </c>
      <c r="V23" s="15" t="s">
        <v>113</v>
      </c>
      <c r="W23" s="15" t="s">
        <v>114</v>
      </c>
      <c r="X23" s="18">
        <v>330000</v>
      </c>
      <c r="Y23" s="18">
        <v>285000</v>
      </c>
      <c r="Z23" s="7">
        <v>520000</v>
      </c>
      <c r="AA23" s="14" t="str">
        <f t="shared" si="0"/>
        <v>令和2年度</v>
      </c>
      <c r="AB23" s="19" t="str">
        <f t="shared" si="1"/>
        <v>令和3年度</v>
      </c>
      <c r="AE23" s="7"/>
    </row>
    <row r="24" spans="1:31" s="15" customFormat="1" ht="18.75">
      <c r="A24" s="15">
        <v>3</v>
      </c>
      <c r="B24" s="16">
        <v>7.9</v>
      </c>
      <c r="C24" s="16">
        <v>0</v>
      </c>
      <c r="D24" s="7">
        <v>21400</v>
      </c>
      <c r="E24" s="7">
        <v>21800</v>
      </c>
      <c r="F24" s="7">
        <v>10900</v>
      </c>
      <c r="G24" s="7">
        <v>630000</v>
      </c>
      <c r="H24" s="17"/>
      <c r="I24" s="16">
        <v>2.7</v>
      </c>
      <c r="J24" s="16">
        <v>0</v>
      </c>
      <c r="K24" s="7">
        <v>7900</v>
      </c>
      <c r="L24" s="7">
        <v>5800</v>
      </c>
      <c r="M24" s="7">
        <v>2900</v>
      </c>
      <c r="N24" s="7">
        <v>190000</v>
      </c>
      <c r="O24" s="17"/>
      <c r="P24" s="16">
        <v>2.5</v>
      </c>
      <c r="Q24" s="16">
        <v>0</v>
      </c>
      <c r="R24" s="7">
        <v>6400</v>
      </c>
      <c r="S24" s="7">
        <v>6300</v>
      </c>
      <c r="T24" s="7">
        <v>170000</v>
      </c>
      <c r="U24" s="15" t="s">
        <v>115</v>
      </c>
      <c r="V24" s="15" t="s">
        <v>116</v>
      </c>
      <c r="W24" s="15" t="s">
        <v>117</v>
      </c>
      <c r="X24" s="18">
        <v>430000</v>
      </c>
      <c r="Y24" s="18">
        <v>285000</v>
      </c>
      <c r="Z24" s="7">
        <v>520000</v>
      </c>
      <c r="AA24" s="14" t="str">
        <f t="shared" si="0"/>
        <v>令和3年度</v>
      </c>
      <c r="AB24" s="19" t="str">
        <f t="shared" si="1"/>
        <v>令和4年度</v>
      </c>
      <c r="AC24" s="5"/>
      <c r="AE24" s="7"/>
    </row>
    <row r="25" spans="1:31" s="15" customFormat="1" ht="18.75">
      <c r="A25" s="15">
        <v>4</v>
      </c>
      <c r="B25" s="16">
        <v>7.9</v>
      </c>
      <c r="C25" s="16">
        <v>0</v>
      </c>
      <c r="D25" s="7">
        <v>21400</v>
      </c>
      <c r="E25" s="7">
        <v>21800</v>
      </c>
      <c r="F25" s="7">
        <v>10900</v>
      </c>
      <c r="G25" s="7">
        <v>650000</v>
      </c>
      <c r="H25" s="17"/>
      <c r="I25" s="16">
        <v>2.7</v>
      </c>
      <c r="J25" s="16">
        <v>0</v>
      </c>
      <c r="K25" s="7">
        <v>7900</v>
      </c>
      <c r="L25" s="7">
        <v>5800</v>
      </c>
      <c r="M25" s="7">
        <v>2900</v>
      </c>
      <c r="N25" s="7">
        <v>200000</v>
      </c>
      <c r="O25" s="17"/>
      <c r="P25" s="16">
        <v>2.5</v>
      </c>
      <c r="Q25" s="16">
        <v>0</v>
      </c>
      <c r="R25" s="7">
        <v>6400</v>
      </c>
      <c r="S25" s="7">
        <v>6300</v>
      </c>
      <c r="T25" s="7">
        <v>170000</v>
      </c>
      <c r="U25" s="15" t="s">
        <v>118</v>
      </c>
      <c r="V25" s="15" t="s">
        <v>119</v>
      </c>
      <c r="W25" s="15" t="s">
        <v>120</v>
      </c>
      <c r="X25" s="18">
        <v>430000</v>
      </c>
      <c r="Y25" s="18">
        <v>285000</v>
      </c>
      <c r="Z25" s="7">
        <v>520000</v>
      </c>
      <c r="AA25" s="14" t="str">
        <f t="shared" si="0"/>
        <v>令和4年度</v>
      </c>
      <c r="AB25" s="19" t="str">
        <f t="shared" si="1"/>
        <v>令和5年度</v>
      </c>
      <c r="AC25" s="52">
        <v>42462</v>
      </c>
      <c r="AD25" s="15" t="s">
        <v>155</v>
      </c>
      <c r="AE25" s="7"/>
    </row>
    <row r="26" spans="1:31" ht="18.75">
      <c r="A26" s="15">
        <v>5</v>
      </c>
      <c r="B26" s="16">
        <v>7.9</v>
      </c>
      <c r="C26" s="16">
        <v>0</v>
      </c>
      <c r="D26" s="7">
        <v>22700</v>
      </c>
      <c r="E26" s="7">
        <v>21400</v>
      </c>
      <c r="F26" s="7">
        <v>10700</v>
      </c>
      <c r="G26" s="7">
        <v>650000</v>
      </c>
      <c r="H26" s="17"/>
      <c r="I26" s="16">
        <v>2.7</v>
      </c>
      <c r="J26" s="16">
        <v>0</v>
      </c>
      <c r="K26" s="7">
        <v>8300</v>
      </c>
      <c r="L26" s="7">
        <v>6000</v>
      </c>
      <c r="M26" s="7">
        <v>3000</v>
      </c>
      <c r="N26" s="7">
        <v>220000</v>
      </c>
      <c r="O26" s="17"/>
      <c r="P26" s="16">
        <v>2.5</v>
      </c>
      <c r="Q26" s="16">
        <v>0</v>
      </c>
      <c r="R26" s="7">
        <v>7200</v>
      </c>
      <c r="S26" s="7">
        <v>6200</v>
      </c>
      <c r="T26" s="7">
        <v>170000</v>
      </c>
      <c r="U26" s="15" t="s">
        <v>121</v>
      </c>
      <c r="V26" s="15" t="s">
        <v>122</v>
      </c>
      <c r="W26" s="15" t="s">
        <v>123</v>
      </c>
      <c r="X26" s="18">
        <v>430000</v>
      </c>
      <c r="Y26" s="18">
        <v>290000</v>
      </c>
      <c r="Z26" s="7">
        <v>535000</v>
      </c>
      <c r="AA26" s="14" t="str">
        <f t="shared" si="0"/>
        <v>令和5年度</v>
      </c>
      <c r="AB26" s="19" t="str">
        <f t="shared" si="1"/>
        <v>令和6年度</v>
      </c>
      <c r="AC26" s="52">
        <v>42827</v>
      </c>
      <c r="AD26" s="15" t="s">
        <v>155</v>
      </c>
      <c r="AE26" s="7"/>
    </row>
    <row r="27" spans="1:31" s="20" customFormat="1" ht="18.75">
      <c r="A27" s="20">
        <v>6</v>
      </c>
      <c r="B27" s="21">
        <v>7.9</v>
      </c>
      <c r="C27" s="21">
        <v>0</v>
      </c>
      <c r="D27" s="22">
        <v>22700</v>
      </c>
      <c r="E27" s="22">
        <v>21400</v>
      </c>
      <c r="F27" s="22">
        <v>10700</v>
      </c>
      <c r="G27" s="22">
        <v>650000</v>
      </c>
      <c r="H27" s="23"/>
      <c r="I27" s="21">
        <v>2.7</v>
      </c>
      <c r="J27" s="21">
        <v>0</v>
      </c>
      <c r="K27" s="22">
        <v>8300</v>
      </c>
      <c r="L27" s="22">
        <v>6000</v>
      </c>
      <c r="M27" s="22">
        <v>3000</v>
      </c>
      <c r="N27" s="22">
        <v>240000</v>
      </c>
      <c r="O27" s="23"/>
      <c r="P27" s="21">
        <v>2.5</v>
      </c>
      <c r="Q27" s="21">
        <v>0</v>
      </c>
      <c r="R27" s="22">
        <v>7200</v>
      </c>
      <c r="S27" s="22">
        <v>6200</v>
      </c>
      <c r="T27" s="22">
        <v>170000</v>
      </c>
      <c r="U27" s="20" t="s">
        <v>124</v>
      </c>
      <c r="V27" s="20" t="s">
        <v>125</v>
      </c>
      <c r="W27" s="20" t="s">
        <v>126</v>
      </c>
      <c r="X27" s="242">
        <v>430000</v>
      </c>
      <c r="Y27" s="242">
        <v>295000</v>
      </c>
      <c r="Z27" s="242">
        <v>545000</v>
      </c>
      <c r="AA27" s="24" t="str">
        <f t="shared" si="0"/>
        <v>令和6年度</v>
      </c>
      <c r="AB27" s="24" t="str">
        <f t="shared" si="1"/>
        <v>令和7年度</v>
      </c>
      <c r="AC27" s="52">
        <v>43192</v>
      </c>
      <c r="AD27" s="15" t="s">
        <v>155</v>
      </c>
      <c r="AE27" s="7"/>
    </row>
    <row r="28" spans="1:31" ht="18.75">
      <c r="A28" s="15">
        <v>7</v>
      </c>
      <c r="G28" s="241">
        <v>660000</v>
      </c>
      <c r="N28" s="241">
        <v>260000</v>
      </c>
      <c r="T28" s="241">
        <v>170000</v>
      </c>
      <c r="U28" s="20" t="s">
        <v>332</v>
      </c>
      <c r="V28" s="20" t="s">
        <v>331</v>
      </c>
      <c r="W28" s="20" t="s">
        <v>330</v>
      </c>
      <c r="X28" s="241">
        <v>430000</v>
      </c>
      <c r="Y28" s="241">
        <v>305000</v>
      </c>
      <c r="Z28" s="241">
        <v>560000</v>
      </c>
      <c r="AA28" s="4" t="str">
        <f t="shared" si="0"/>
        <v>令和7年度</v>
      </c>
      <c r="AB28" s="24" t="str">
        <f t="shared" si="1"/>
        <v>令和8年度</v>
      </c>
      <c r="AC28" s="53">
        <v>43557</v>
      </c>
      <c r="AD28" s="15" t="s">
        <v>155</v>
      </c>
      <c r="AE28" s="7"/>
    </row>
    <row r="29" spans="1:31">
      <c r="A29" s="2">
        <v>8</v>
      </c>
      <c r="AA29" s="4" t="str">
        <f t="shared" si="0"/>
        <v>令和8年度</v>
      </c>
    </row>
  </sheetData>
  <phoneticPr fontId="2"/>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118"/>
  <sheetViews>
    <sheetView workbookViewId="0">
      <selection activeCell="H5" sqref="H5"/>
    </sheetView>
  </sheetViews>
  <sheetFormatPr defaultColWidth="11.75" defaultRowHeight="13.9" customHeight="1"/>
  <cols>
    <col min="1" max="1" width="5.75" style="35" customWidth="1"/>
    <col min="2" max="5" width="10.75" style="51" customWidth="1"/>
    <col min="6" max="11" width="10.75" style="35" customWidth="1"/>
    <col min="12" max="16384" width="11.75" style="35"/>
  </cols>
  <sheetData>
    <row r="1" spans="1:10" s="27" customFormat="1" ht="13.9" customHeight="1">
      <c r="A1" s="25" t="s">
        <v>130</v>
      </c>
      <c r="B1" s="26">
        <f>簡易試算表!AW62</f>
        <v>6</v>
      </c>
      <c r="C1" s="234" t="s">
        <v>317</v>
      </c>
      <c r="D1" s="235">
        <f>DATEVALUE("R"&amp;簡易試算表!AW62&amp;".1.1")</f>
        <v>45292</v>
      </c>
      <c r="E1" s="248"/>
    </row>
    <row r="2" spans="1:10" s="31" customFormat="1" ht="13.9" customHeight="1">
      <c r="A2" s="28" t="s">
        <v>131</v>
      </c>
      <c r="B2" s="29"/>
      <c r="C2" s="30"/>
    </row>
    <row r="3" spans="1:10" s="31" customFormat="1" ht="13.9" customHeight="1">
      <c r="A3" s="32" t="s">
        <v>208</v>
      </c>
      <c r="B3" s="30"/>
      <c r="C3" s="30"/>
    </row>
    <row r="4" spans="1:10" s="31" customFormat="1" ht="13.9" customHeight="1">
      <c r="A4" s="32" t="s">
        <v>132</v>
      </c>
      <c r="B4" s="30"/>
      <c r="C4" s="30"/>
    </row>
    <row r="5" spans="1:10" s="31" customFormat="1" ht="13.9" customHeight="1">
      <c r="A5" s="33" t="s">
        <v>133</v>
      </c>
      <c r="B5" s="34"/>
      <c r="C5" s="30"/>
    </row>
    <row r="6" spans="1:10" s="27" customFormat="1" ht="13.9" customHeight="1" thickBot="1">
      <c r="A6" s="126" t="s">
        <v>134</v>
      </c>
      <c r="B6" s="127" t="s">
        <v>135</v>
      </c>
      <c r="C6" s="48" t="s">
        <v>136</v>
      </c>
      <c r="D6" s="127" t="s">
        <v>137</v>
      </c>
      <c r="E6" s="127" t="s">
        <v>138</v>
      </c>
      <c r="F6" s="127" t="s">
        <v>139</v>
      </c>
      <c r="G6" s="127" t="s">
        <v>354</v>
      </c>
      <c r="H6" s="127" t="s">
        <v>333</v>
      </c>
    </row>
    <row r="7" spans="1:10" ht="13.9" customHeight="1" thickBot="1">
      <c r="A7" s="130" t="s">
        <v>154</v>
      </c>
      <c r="B7" s="131">
        <f>IF(簡易試算表!BP67=1,0,簡易試算表!BD67)</f>
        <v>0</v>
      </c>
      <c r="C7" s="131">
        <f>D7</f>
        <v>0</v>
      </c>
      <c r="D7" s="131">
        <f>IF(B$1&gt;20,IF(B$1&lt;=29,E7,F7),IF(B$1&lt;=2,F7,IF(B$1&lt;=7,G7,H7)))</f>
        <v>0</v>
      </c>
      <c r="E7" s="131">
        <f>IF($B7&lt;651000,0,IF($B7&lt;1619000,$B7-650000,IF($B7&lt;1620000,969000,IF($B7&lt;1622000,970000,IF($B7&lt;1624000,972000,IF($B7&lt;1628000,974000,IF($B7&lt;1800000,(ROUNDDOWN($B7/4,-3))*4*0.6,IF($B7&lt;3600000,(ROUNDDOWN($B7/4,-3))*4*0.7-180000,IF($B7&lt;6600000,(ROUNDDOWN($B7/4,-3))*4*0.8-540000,IF($B7&lt;10000000,$B7*0.9-1200000,IF($B7&lt;12000000,$B7*0.95-1700000,$B7-2300000)))))))))))</f>
        <v>0</v>
      </c>
      <c r="F7" s="131">
        <f>IF($B7&lt;651000,0,IF($B7&lt;1619000,$B7-650000,IF($B7&lt;1620000,969000,IF($B7&lt;1622000,970000,IF($B7&lt;1624000,972000,IF($B7&lt;1628000,974000,IF($B7&lt;1800000,(ROUNDDOWN($B7/4,-3))*4*0.6,IF($B7&lt;3600000,(ROUNDDOWN($B7/4,-3))*4*0.7-180000,IF($B7&lt;6600000,(ROUNDDOWN($B7/4,-3))*4*0.8-540000,IF($B7&lt;10000000,$B7*0.9-1200000,$B7-2200000))))))))))</f>
        <v>0</v>
      </c>
      <c r="G7" s="132">
        <f>IF($B7&lt;551000,0,IF($B7&lt;1619000,$B7-550000,IF($B7&lt;1620000,1069000,IF($B7&lt;1622000,1070000,IF($B7&lt;1624000,1072000,IF($B7&lt;1628000,1074000,IF($B7&lt;1800000,(ROUNDDOWN($B7/4,-3))*4*0.6+100000,IF($B7&lt;3600000,(ROUNDDOWN($B7/4,-3))*4*0.7-80000,IF($B7&lt;6600000,(ROUNDDOWN($B7/4,-3))*4*0.8-440000,IF($B7&lt;8500000,$B7*0.9-1100000,$B7-1950000))))))))))</f>
        <v>0</v>
      </c>
      <c r="H7" s="132">
        <f>IF($B7&lt;651000,0,IF($B7&lt;1619000,$B7-650000,IF($B7&lt;1620000,1069000,IF($B7&lt;1622000,1070000,IF($B7&lt;1624000,1072000,IF($B7&lt;1628000,1074000,IF($B7&lt;1800000,(ROUNDDOWN($B7/4,-3))*4*0.6+100000,IF($B7&lt;3600000,(ROUNDDOWN($B7/4,-3))*4*0.7-80000,IF($B7&lt;6600000,(ROUNDDOWN($B7/4,-3))*4*0.8-440000,IF($B7&lt;8500000,$B7*0.9-1100000,$B7-1950000))))))))))</f>
        <v>0</v>
      </c>
    </row>
    <row r="8" spans="1:10" ht="13.9" customHeight="1">
      <c r="A8" s="128">
        <v>1</v>
      </c>
      <c r="B8" s="135">
        <f ca="1">IF(簡易試算表!AW75="",0,簡易試算表!CB75)</f>
        <v>0</v>
      </c>
      <c r="C8" s="135">
        <f ca="1">IF(簡易試算表!AZ75&gt;64,D8,IF(簡易試算表!CM75=1,D8*0.3,D8))</f>
        <v>0</v>
      </c>
      <c r="D8" s="135">
        <f t="shared" ref="D8:D14" ca="1" si="0">IF(B$1&gt;20,IF(B$1&lt;=29,E8,F8),IF(B$1&lt;=2,F8,IF(B$1&lt;=7,G8,H8)))</f>
        <v>0</v>
      </c>
      <c r="E8" s="129">
        <f t="shared" ref="E8:E13" ca="1" si="1">IF($B8&lt;=650999,0,IF($B8&lt;1619000,$B8-650000,IF($B8&lt;1620000,969000,IF($B8&lt;1622000,970000,IF($B8&lt;1624000,972000,IF($B8&lt;1628000,974000,IF($B8&lt;1800000,(ROUNDDOWN($B8/4,-3))*4*0.6,IF($B8&lt;3600000,(ROUNDDOWN($B8/4,-3))*4*0.7-180000,IF($B8&lt;6600000,(ROUNDDOWN($B8/4,-3))*4*0.8-540000,IF($B8&lt;10000000,$B8*0.9-1200000,IF($B8&lt;12000000,$B8*0.95-1700000,$B8-2300000)))))))))))</f>
        <v>0</v>
      </c>
      <c r="F8" s="129">
        <f t="shared" ref="F8:F13" ca="1" si="2">IF($B8&lt;=650999,0,IF($B8&lt;1619000,$B8-650000,IF($B8&lt;1620000,969000,IF($B8&lt;1622000,970000,IF($B8&lt;1624000,972000,IF($B8&lt;1628000,974000,IF($B8&lt;1800000,(ROUNDDOWN($B8/4,-3))*4*0.6,IF($B8&lt;3600000,(ROUNDDOWN($B8/4,-3))*4*0.7-180000,IF($B8&lt;6600000,(ROUNDDOWN($B8/4,-3))*4*0.8-540000,IF($B8&lt;10000000,$B8*0.9-1200000,$B8-2200000))))))))))</f>
        <v>0</v>
      </c>
      <c r="G8" s="129">
        <f t="shared" ref="G8:G14" ca="1" si="3">IF($B8&lt;551000,0,IF($B8&lt;1619000,$B8-550000,IF($B8&lt;1620000,1069000,IF($B8&lt;1622000,1070000,IF($B8&lt;1624000,1072000,IF($B8&lt;1628000,1074000,IF($B8&lt;1800000,(ROUNDDOWN($B8/4,-3))*4*0.6+100000,IF($B8&lt;3600000,(ROUNDDOWN($B8/4,-3))*4*0.7-80000,IF($B8&lt;6600000,(ROUNDDOWN($B8/4,-3))*4*0.8-440000,IF($B8&lt;8500000,$B8*0.9-1100000,$B8-1950000))))))))))</f>
        <v>0</v>
      </c>
      <c r="H8" s="129">
        <f ca="1">IF($B8&lt;651000,0,IF($B8&lt;1619000,$B8-650000,IF($B8&lt;1620000,1069000,IF($B8&lt;1622000,1070000,IF($B8&lt;1624000,1072000,IF($B8&lt;1628000,1074000,IF($B8&lt;1800000,(ROUNDDOWN($B8/4,-3))*4*0.6+100000,IF($B8&lt;3600000,(ROUNDDOWN($B8/4,-3))*4*0.7-80000,IF($B8&lt;6600000,(ROUNDDOWN($B8/4,-3))*4*0.8-440000,IF($B8&lt;8500000,$B8*0.9-1100000,$B8-1950000))))))))))</f>
        <v>0</v>
      </c>
    </row>
    <row r="9" spans="1:10" ht="13.9" customHeight="1">
      <c r="A9" s="36">
        <v>2</v>
      </c>
      <c r="B9" s="129">
        <f ca="1">IF(簡易試算表!AW76="",0,簡易試算表!CB76)</f>
        <v>0</v>
      </c>
      <c r="C9" s="37">
        <f ca="1">IF(簡易試算表!AZ76&gt;64,D9,IF(簡易試算表!CM76=1,D9*0.3,D9))</f>
        <v>0</v>
      </c>
      <c r="D9" s="37">
        <f t="shared" ca="1" si="0"/>
        <v>0</v>
      </c>
      <c r="E9" s="37">
        <f t="shared" ca="1" si="1"/>
        <v>0</v>
      </c>
      <c r="F9" s="37">
        <f t="shared" ca="1" si="2"/>
        <v>0</v>
      </c>
      <c r="G9" s="37">
        <f t="shared" ca="1" si="3"/>
        <v>0</v>
      </c>
      <c r="H9" s="129">
        <f t="shared" ref="H9:H14" ca="1" si="4">IF($B9&lt;651000,0,IF($B9&lt;1619000,$B9-650000,IF($B9&lt;1620000,1069000,IF($B9&lt;1622000,1070000,IF($B9&lt;1624000,1072000,IF($B9&lt;1628000,1074000,IF($B9&lt;1800000,(ROUNDDOWN($B9/4,-3))*4*0.6+100000,IF($B9&lt;3600000,(ROUNDDOWN($B9/4,-3))*4*0.7-80000,IF($B9&lt;6600000,(ROUNDDOWN($B9/4,-3))*4*0.8-440000,IF($B9&lt;8500000,$B9*0.9-1100000,$B9-1950000))))))))))</f>
        <v>0</v>
      </c>
    </row>
    <row r="10" spans="1:10" ht="13.9" customHeight="1">
      <c r="A10" s="36">
        <v>3</v>
      </c>
      <c r="B10" s="129">
        <f ca="1">IF(簡易試算表!AW77="",0,簡易試算表!CB77)</f>
        <v>0</v>
      </c>
      <c r="C10" s="37">
        <f ca="1">IF(簡易試算表!AZ77&gt;64,D10,IF(簡易試算表!CM77=1,D10*0.3,D10))</f>
        <v>0</v>
      </c>
      <c r="D10" s="37">
        <f t="shared" ca="1" si="0"/>
        <v>0</v>
      </c>
      <c r="E10" s="37">
        <f ca="1">IF($B10&lt;=650999,0,IF($B10&lt;1619000,$B10-650000,IF($B10&lt;1620000,969000,IF($B10&lt;1622000,970000,IF($B10&lt;1624000,972000,IF($B10&lt;1628000,974000,IF($B10&lt;1800000,(ROUNDDOWN($B10/4,-3))*4*0.6,IF($B10&lt;3600000,(ROUNDDOWN($B10/4,-3))*4*0.7-180000,IF($B10&lt;6600000,(ROUNDDOWN($B10/4,-3))*4*0.8-540000,IF($B10&lt;10000000,$B10*0.9-1200000,IF($B10&lt;12000000,$B10*0.95-1700000,$B10-2300000)))))))))))</f>
        <v>0</v>
      </c>
      <c r="F10" s="37">
        <f ca="1">IF($B10&lt;=650999,0,IF($B10&lt;1619000,$B10-650000,IF($B10&lt;1620000,969000,IF($B10&lt;1622000,970000,IF($B10&lt;1624000,972000,IF($B10&lt;1628000,974000,IF($B10&lt;1800000,(ROUNDDOWN($B10/4,-3))*4*0.6,IF($B10&lt;3600000,(ROUNDDOWN($B10/4,-3))*4*0.7-180000,IF($B10&lt;6600000,(ROUNDDOWN($B10/4,-3))*4*0.8-540000,IF($B10&lt;10000000,$B10*0.9-1200000,$B10-2200000))))))))))</f>
        <v>0</v>
      </c>
      <c r="G10" s="37">
        <f t="shared" ca="1" si="3"/>
        <v>0</v>
      </c>
      <c r="H10" s="129">
        <f t="shared" ca="1" si="4"/>
        <v>0</v>
      </c>
    </row>
    <row r="11" spans="1:10" ht="13.9" customHeight="1">
      <c r="A11" s="36">
        <v>4</v>
      </c>
      <c r="B11" s="129">
        <f ca="1">IF(簡易試算表!AW78="",0,簡易試算表!CB78)</f>
        <v>0</v>
      </c>
      <c r="C11" s="37">
        <f ca="1">IF(簡易試算表!AZ78&gt;64,D11,IF(簡易試算表!CM78=1,D11*0.3,D11))</f>
        <v>0</v>
      </c>
      <c r="D11" s="37">
        <f t="shared" ca="1" si="0"/>
        <v>0</v>
      </c>
      <c r="E11" s="37">
        <f t="shared" ca="1" si="1"/>
        <v>0</v>
      </c>
      <c r="F11" s="37">
        <f t="shared" ca="1" si="2"/>
        <v>0</v>
      </c>
      <c r="G11" s="37">
        <f t="shared" ca="1" si="3"/>
        <v>0</v>
      </c>
      <c r="H11" s="129">
        <f t="shared" ca="1" si="4"/>
        <v>0</v>
      </c>
    </row>
    <row r="12" spans="1:10" ht="13.9" customHeight="1">
      <c r="A12" s="36">
        <v>5</v>
      </c>
      <c r="B12" s="129">
        <f ca="1">IF(簡易試算表!AW79="",0,簡易試算表!CB79)</f>
        <v>0</v>
      </c>
      <c r="C12" s="37">
        <f ca="1">IF(簡易試算表!AZ79&gt;64,D12,IF(簡易試算表!CM79=1,D12*0.3,D12))</f>
        <v>0</v>
      </c>
      <c r="D12" s="37">
        <f t="shared" ca="1" si="0"/>
        <v>0</v>
      </c>
      <c r="E12" s="37">
        <f t="shared" ca="1" si="1"/>
        <v>0</v>
      </c>
      <c r="F12" s="37">
        <f t="shared" ca="1" si="2"/>
        <v>0</v>
      </c>
      <c r="G12" s="37">
        <f t="shared" ca="1" si="3"/>
        <v>0</v>
      </c>
      <c r="H12" s="129">
        <f t="shared" ca="1" si="4"/>
        <v>0</v>
      </c>
    </row>
    <row r="13" spans="1:10" ht="13.9" customHeight="1">
      <c r="A13" s="36">
        <v>6</v>
      </c>
      <c r="B13" s="129">
        <f ca="1">IF(簡易試算表!AW80="",0,簡易試算表!CB80)</f>
        <v>0</v>
      </c>
      <c r="C13" s="37">
        <f ca="1">IF(簡易試算表!AZ80&gt;64,D13,IF(簡易試算表!CM80=1,D13*0.3,D13))</f>
        <v>0</v>
      </c>
      <c r="D13" s="37">
        <f t="shared" ca="1" si="0"/>
        <v>0</v>
      </c>
      <c r="E13" s="37">
        <f t="shared" ca="1" si="1"/>
        <v>0</v>
      </c>
      <c r="F13" s="37">
        <f t="shared" ca="1" si="2"/>
        <v>0</v>
      </c>
      <c r="G13" s="37">
        <f t="shared" ca="1" si="3"/>
        <v>0</v>
      </c>
      <c r="H13" s="129">
        <f t="shared" ca="1" si="4"/>
        <v>0</v>
      </c>
    </row>
    <row r="14" spans="1:10" ht="13.9" customHeight="1">
      <c r="A14" s="38">
        <v>7</v>
      </c>
      <c r="B14" s="136">
        <f ca="1">IF(簡易試算表!AW81="",0,簡易試算表!CB81)</f>
        <v>0</v>
      </c>
      <c r="C14" s="39">
        <f ca="1">IF(簡易試算表!AZ81&gt;64,D14,IF(簡易試算表!CM81=1,D14*0.3,D14))</f>
        <v>0</v>
      </c>
      <c r="D14" s="39">
        <f t="shared" ca="1" si="0"/>
        <v>0</v>
      </c>
      <c r="E14" s="39">
        <f ca="1">IF($B14&lt;=650999,0,IF($B14&lt;1619000,$B14-650000,IF($B14&lt;1620000,969000,IF($B14&lt;1622000,970000,IF($B14&lt;1624000,972000,IF($B14&lt;1628000,974000,IF($B14&lt;1800000,(ROUNDDOWN($B14/4,-3))*4*0.6,IF($B14&lt;3600000,(ROUNDDOWN($B14/4,-3))*4*0.7-180000,IF($B14&lt;6600000,(ROUNDDOWN($B14/4,-3))*4*0.8-540000,IF($B14&lt;10000000,$B14*0.9-1200000,IF($B14&lt;12000000,$B14*0.95-1700000,$B14-2300000)))))))))))</f>
        <v>0</v>
      </c>
      <c r="F14" s="39">
        <f ca="1">IF($B14&lt;=650999,0,IF($B14&lt;1619000,$B14-650000,IF($B14&lt;1620000,969000,IF($B14&lt;1622000,970000,IF($B14&lt;1624000,972000,IF($B14&lt;1628000,974000,IF($B14&lt;1800000,(ROUNDDOWN($B14/4,-3))*4*0.6,IF($B14&lt;3600000,(ROUNDDOWN($B14/4,-3))*4*0.7-180000,IF($B14&lt;6600000,(ROUNDDOWN($B14/4,-3))*4*0.8-540000,IF($B14&lt;10000000,$B14*0.9-1200000,$B14-2200000))))))))))</f>
        <v>0</v>
      </c>
      <c r="G14" s="39">
        <f t="shared" ca="1" si="3"/>
        <v>0</v>
      </c>
      <c r="H14" s="39">
        <f t="shared" ca="1" si="4"/>
        <v>0</v>
      </c>
    </row>
    <row r="15" spans="1:10" s="41" customFormat="1" ht="13.9" customHeight="1">
      <c r="A15" s="32" t="s">
        <v>141</v>
      </c>
      <c r="B15" s="40"/>
      <c r="C15" s="40"/>
      <c r="D15" s="40"/>
      <c r="E15" s="40"/>
      <c r="F15" s="40"/>
      <c r="G15" s="40"/>
      <c r="H15" s="40"/>
      <c r="J15" s="35"/>
    </row>
    <row r="16" spans="1:10" s="27" customFormat="1" ht="13.9" customHeight="1" thickBot="1">
      <c r="A16" s="126" t="s">
        <v>134</v>
      </c>
      <c r="B16" s="48" t="s">
        <v>142</v>
      </c>
      <c r="C16" s="48" t="s">
        <v>136</v>
      </c>
      <c r="D16" s="127" t="s">
        <v>137</v>
      </c>
      <c r="E16" s="127" t="s">
        <v>138</v>
      </c>
      <c r="F16" s="127" t="s">
        <v>139</v>
      </c>
      <c r="G16" s="127" t="s">
        <v>354</v>
      </c>
      <c r="H16" s="127" t="s">
        <v>333</v>
      </c>
      <c r="I16" s="239"/>
      <c r="J16" s="35"/>
    </row>
    <row r="17" spans="1:8" ht="13.9" customHeight="1" thickBot="1">
      <c r="A17" s="130" t="s">
        <v>154</v>
      </c>
      <c r="B17" s="131">
        <f>B7</f>
        <v>0</v>
      </c>
      <c r="C17" s="131">
        <f>D17</f>
        <v>0</v>
      </c>
      <c r="D17" s="131">
        <f>IF(B$1&gt;20,IF(B$1&lt;=29,E17,F17),IF(B$1&lt;=2,F17,IF(B$1&lt;=7,G17,H17)))</f>
        <v>0</v>
      </c>
      <c r="E17" s="131">
        <f>IF($B17&lt;651000,0,IF($B17&lt;1619000,$B17-650000,IF($B17&lt;1620000,969000,IF($B17&lt;1622000,970000,IF($B17&lt;1624000,972000,IF($B17&lt;1628000,974000,IF($B17&lt;1800000,(ROUNDDOWN($B17/4,-3))*4*0.6,IF($B17&lt;3600000,(ROUNDDOWN($B17/4,-3))*4*0.7-180000,IF($B17&lt;6600000,(ROUNDDOWN($B17/4,-3))*4*0.8-540000,IF($B17&lt;10000000,$B17*0.9-1200000,IF($B17&lt;12000000,$B17*0.95-1700000,$B17-2300000)))))))))))</f>
        <v>0</v>
      </c>
      <c r="F17" s="131">
        <f>IF($B17&lt;651000,0,IF($B17&lt;1619000,$B17-650000,IF($B17&lt;1620000,969000,IF($B17&lt;1622000,970000,IF($B17&lt;1624000,972000,IF($B17&lt;1628000,974000,IF($B17&lt;1800000,(ROUNDDOWN($B17/4,-3))*4*0.6,IF($B17&lt;3600000,(ROUNDDOWN($B17/4,-3))*4*0.7-180000,IF($B17&lt;6600000,(ROUNDDOWN($B17/4,-3))*4*0.8-540000,IF($B17&lt;10000000,$B17*0.9-1200000,$B17-2200000))))))))))</f>
        <v>0</v>
      </c>
      <c r="G17" s="132">
        <f>IF($B17&lt;551000,0,IF($B17&lt;1619000,$B17-550000,IF($B17&lt;1620000,1069000,IF($B17&lt;1622000,1070000,IF($B17&lt;1624000,1072000,IF($B17&lt;1628000,1074000,IF($B17&lt;1800000,(ROUNDDOWN($B17/4,-3))*4*0.6+100000,IF($B17&lt;3600000,(ROUNDDOWN($B17/4,-3))*4*0.7-80000,IF($B17&lt;6600000,(ROUNDDOWN($B17/4,-3))*4*0.8-440000,IF($B17&lt;8500000,$B17*0.9-1100000,$B17-1950000))))))))))</f>
        <v>0</v>
      </c>
      <c r="H17" s="132">
        <f>IF($B17&lt;651000,0,IF($B17&lt;1619000,$B17-650000,IF($B17&lt;1620000,1069000,IF($B17&lt;1622000,1070000,IF($B17&lt;1624000,1072000,IF($B17&lt;1628000,1074000,IF($B17&lt;1800000,(ROUNDDOWN($B17/4,-3))*4*0.6+100000,IF($B17&lt;3600000,(ROUNDDOWN($B17/4,-3))*4*0.7-80000,IF($B17&lt;6600000,(ROUNDDOWN($B17/4,-3))*4*0.8-440000,IF($B17&lt;8500000,$B17*0.9-1100000,$B17-1950000))))))))))</f>
        <v>0</v>
      </c>
    </row>
    <row r="18" spans="1:8" ht="13.9" customHeight="1">
      <c r="A18" s="128">
        <v>1</v>
      </c>
      <c r="B18" s="135">
        <f ca="1">B8</f>
        <v>0</v>
      </c>
      <c r="C18" s="135">
        <f ca="1">IF(簡易試算表!AZ75&gt;64,D18,IF(簡易試算表!CM75=1,D18*0.3,D18))</f>
        <v>0</v>
      </c>
      <c r="D18" s="135">
        <f t="shared" ref="D18:D24" ca="1" si="5">IF(B$1&gt;20,IF(B$1&lt;=29,E18,F18),IF(B$1&lt;=2,F18,IF(B$1&lt;=7,G18,H18)))</f>
        <v>0</v>
      </c>
      <c r="E18" s="135">
        <f t="shared" ref="E18:E24" ca="1" si="6">IF($B18&lt;=650999,0,IF($B18&lt;1619000,$B18-650000,IF($B18&lt;1620000,969000,IF($B18&lt;1622000,970000,IF($B18&lt;1624000,972000,IF($B18&lt;1628000,974000,IF($B18&lt;1800000,(ROUNDDOWN($B18/4,-3))*4*0.6,IF($B18&lt;3600000,(ROUNDDOWN($B18/4,-3))*4*0.7-180000,IF($B18&lt;6600000,(ROUNDDOWN($B18/4,-3))*4*0.8-540000,IF($B18&lt;10000000,$B18*0.9-1200000,IF($B18&lt;12000000,$B18*0.95-1700000,$B18-2300000)))))))))))</f>
        <v>0</v>
      </c>
      <c r="F18" s="135">
        <f t="shared" ref="F18:F24" ca="1" si="7">IF($B18&lt;=650999,0,IF($B18&lt;1619000,$B18-650000,IF($B18&lt;1620000,969000,IF($B18&lt;1622000,970000,IF($B18&lt;1624000,972000,IF($B18&lt;1628000,974000,IF($B18&lt;1800000,(ROUNDDOWN($B18/4,-3))*4*0.6,IF($B18&lt;3600000,(ROUNDDOWN($B18/4,-3))*4*0.7-180000,IF($B18&lt;6600000,(ROUNDDOWN($B18/4,-3))*4*0.8-540000,IF($B18&lt;10000000,$B18*0.9-1200000,$B18-2200000))))))))))</f>
        <v>0</v>
      </c>
      <c r="G18" s="135">
        <f t="shared" ref="G18:G24" ca="1" si="8">IF($B18&lt;551000,0,IF($B18&lt;1619000,$B18-550000,IF($B18&lt;1620000,1069000,IF($B18&lt;1622000,1070000,IF($B18&lt;1624000,1072000,IF($B18&lt;1628000,1074000,IF($B18&lt;1800000,(ROUNDDOWN($B18/4,-3))*4*0.6+100000,IF($B18&lt;3600000,(ROUNDDOWN($B18/4,-3))*4*0.7-80000,IF($B18&lt;6600000,(ROUNDDOWN($B18/4,-3))*4*0.8-440000,IF($B18&lt;8500000,$B18*0.9-1100000,$B18-1950000))))))))))</f>
        <v>0</v>
      </c>
      <c r="H18" s="135">
        <f ca="1">IF($B18&lt;651000,0,IF($B18&lt;1619000,$B18-650000,IF($B18&lt;1620000,1069000,IF($B18&lt;1622000,1070000,IF($B18&lt;1624000,1072000,IF($B18&lt;1628000,1074000,IF($B18&lt;1800000,(ROUNDDOWN($B18/4,-3))*4*0.6+100000,IF($B18&lt;3600000,(ROUNDDOWN($B18/4,-3))*4*0.7-80000,IF($B18&lt;6600000,(ROUNDDOWN($B18/4,-3))*4*0.8-440000,IF($B18&lt;8500000,$B18*0.9-1100000,$B18-1950000))))))))))</f>
        <v>0</v>
      </c>
    </row>
    <row r="19" spans="1:8" ht="13.9" customHeight="1">
      <c r="A19" s="36">
        <v>2</v>
      </c>
      <c r="B19" s="37">
        <f ca="1">B9</f>
        <v>0</v>
      </c>
      <c r="C19" s="37">
        <f ca="1">IF(簡易試算表!AZ76&gt;64,D19,IF(簡易試算表!CM76=1,D19*0.3,D19))</f>
        <v>0</v>
      </c>
      <c r="D19" s="37">
        <f t="shared" ca="1" si="5"/>
        <v>0</v>
      </c>
      <c r="E19" s="129">
        <f t="shared" ca="1" si="6"/>
        <v>0</v>
      </c>
      <c r="F19" s="129">
        <f t="shared" ca="1" si="7"/>
        <v>0</v>
      </c>
      <c r="G19" s="129">
        <f t="shared" ca="1" si="8"/>
        <v>0</v>
      </c>
      <c r="H19" s="129">
        <f t="shared" ref="H19:H24" ca="1" si="9">IF($B19&lt;651000,0,IF($B19&lt;1619000,$B19-650000,IF($B19&lt;1620000,1069000,IF($B19&lt;1622000,1070000,IF($B19&lt;1624000,1072000,IF($B19&lt;1628000,1074000,IF($B19&lt;1800000,(ROUNDDOWN($B19/4,-3))*4*0.6+100000,IF($B19&lt;3600000,(ROUNDDOWN($B19/4,-3))*4*0.7-80000,IF($B19&lt;6600000,(ROUNDDOWN($B19/4,-3))*4*0.8-440000,IF($B19&lt;8500000,$B19*0.9-1100000,$B19-1950000))))))))))</f>
        <v>0</v>
      </c>
    </row>
    <row r="20" spans="1:8" ht="13.9" customHeight="1">
      <c r="A20" s="36">
        <v>3</v>
      </c>
      <c r="B20" s="37">
        <f t="shared" ref="B20:B24" ca="1" si="10">B10</f>
        <v>0</v>
      </c>
      <c r="C20" s="37">
        <f ca="1">IF(簡易試算表!AZ77&gt;64,D20,IF(簡易試算表!CM77=1,D20*0.3,D20))</f>
        <v>0</v>
      </c>
      <c r="D20" s="37">
        <f t="shared" ca="1" si="5"/>
        <v>0</v>
      </c>
      <c r="E20" s="129">
        <f t="shared" ca="1" si="6"/>
        <v>0</v>
      </c>
      <c r="F20" s="129">
        <f t="shared" ca="1" si="7"/>
        <v>0</v>
      </c>
      <c r="G20" s="129">
        <f t="shared" ca="1" si="8"/>
        <v>0</v>
      </c>
      <c r="H20" s="129">
        <f t="shared" ca="1" si="9"/>
        <v>0</v>
      </c>
    </row>
    <row r="21" spans="1:8" ht="13.9" customHeight="1">
      <c r="A21" s="36">
        <v>4</v>
      </c>
      <c r="B21" s="37">
        <f t="shared" ca="1" si="10"/>
        <v>0</v>
      </c>
      <c r="C21" s="37">
        <f ca="1">IF(簡易試算表!AZ78&gt;64,D21,IF(簡易試算表!CM78=1,D21*0.3,D21))</f>
        <v>0</v>
      </c>
      <c r="D21" s="37">
        <f t="shared" ca="1" si="5"/>
        <v>0</v>
      </c>
      <c r="E21" s="129">
        <f t="shared" ca="1" si="6"/>
        <v>0</v>
      </c>
      <c r="F21" s="129">
        <f t="shared" ca="1" si="7"/>
        <v>0</v>
      </c>
      <c r="G21" s="129">
        <f t="shared" ca="1" si="8"/>
        <v>0</v>
      </c>
      <c r="H21" s="129">
        <f t="shared" ca="1" si="9"/>
        <v>0</v>
      </c>
    </row>
    <row r="22" spans="1:8" ht="13.9" customHeight="1">
      <c r="A22" s="36">
        <v>5</v>
      </c>
      <c r="B22" s="37">
        <f t="shared" ca="1" si="10"/>
        <v>0</v>
      </c>
      <c r="C22" s="37">
        <f ca="1">IF(簡易試算表!AZ79&gt;64,D22,IF(簡易試算表!CM79=1,D22*0.3,D22))</f>
        <v>0</v>
      </c>
      <c r="D22" s="37">
        <f t="shared" ca="1" si="5"/>
        <v>0</v>
      </c>
      <c r="E22" s="129">
        <f t="shared" ca="1" si="6"/>
        <v>0</v>
      </c>
      <c r="F22" s="129">
        <f t="shared" ca="1" si="7"/>
        <v>0</v>
      </c>
      <c r="G22" s="129">
        <f t="shared" ca="1" si="8"/>
        <v>0</v>
      </c>
      <c r="H22" s="129">
        <f t="shared" ca="1" si="9"/>
        <v>0</v>
      </c>
    </row>
    <row r="23" spans="1:8" ht="13.9" customHeight="1">
      <c r="A23" s="36">
        <v>6</v>
      </c>
      <c r="B23" s="37">
        <f t="shared" ca="1" si="10"/>
        <v>0</v>
      </c>
      <c r="C23" s="37">
        <f ca="1">IF(簡易試算表!AZ80&gt;64,D23,IF(簡易試算表!CM80=1,D23*0.3,D23))</f>
        <v>0</v>
      </c>
      <c r="D23" s="37">
        <f t="shared" ca="1" si="5"/>
        <v>0</v>
      </c>
      <c r="E23" s="129">
        <f t="shared" ca="1" si="6"/>
        <v>0</v>
      </c>
      <c r="F23" s="129">
        <f t="shared" ca="1" si="7"/>
        <v>0</v>
      </c>
      <c r="G23" s="129">
        <f t="shared" ca="1" si="8"/>
        <v>0</v>
      </c>
      <c r="H23" s="129">
        <f t="shared" ca="1" si="9"/>
        <v>0</v>
      </c>
    </row>
    <row r="24" spans="1:8" ht="13.9" customHeight="1">
      <c r="A24" s="38">
        <v>7</v>
      </c>
      <c r="B24" s="39">
        <f t="shared" ca="1" si="10"/>
        <v>0</v>
      </c>
      <c r="C24" s="39">
        <f ca="1">IF(簡易試算表!AZ81&gt;64,D24,IF(簡易試算表!CM81=1,D24*0.3,D24))</f>
        <v>0</v>
      </c>
      <c r="D24" s="39">
        <f t="shared" ca="1" si="5"/>
        <v>0</v>
      </c>
      <c r="E24" s="136">
        <f t="shared" ca="1" si="6"/>
        <v>0</v>
      </c>
      <c r="F24" s="136">
        <f t="shared" ca="1" si="7"/>
        <v>0</v>
      </c>
      <c r="G24" s="136">
        <f t="shared" ca="1" si="8"/>
        <v>0</v>
      </c>
      <c r="H24" s="136">
        <f t="shared" ca="1" si="9"/>
        <v>0</v>
      </c>
    </row>
    <row r="25" spans="1:8" s="42" customFormat="1" ht="13.9" customHeight="1">
      <c r="A25" s="31"/>
      <c r="B25" s="40"/>
      <c r="C25" s="40"/>
      <c r="D25" s="40"/>
      <c r="E25" s="40"/>
      <c r="F25" s="40"/>
      <c r="G25" s="40"/>
    </row>
    <row r="26" spans="1:8" s="31" customFormat="1" ht="13.9" customHeight="1">
      <c r="A26" s="32" t="s">
        <v>143</v>
      </c>
      <c r="B26" s="30"/>
      <c r="C26" s="30"/>
    </row>
    <row r="27" spans="1:8" s="31" customFormat="1" ht="13.9" customHeight="1">
      <c r="A27" s="32" t="s">
        <v>209</v>
      </c>
      <c r="B27" s="30"/>
      <c r="C27" s="30"/>
    </row>
    <row r="28" spans="1:8" s="31" customFormat="1" ht="13.9" customHeight="1">
      <c r="A28" s="32" t="s">
        <v>144</v>
      </c>
      <c r="B28" s="30"/>
      <c r="C28" s="30"/>
    </row>
    <row r="29" spans="1:8" s="27" customFormat="1" ht="13.9" customHeight="1" thickBot="1">
      <c r="A29" s="126" t="s">
        <v>134</v>
      </c>
      <c r="B29" s="127" t="s">
        <v>145</v>
      </c>
      <c r="C29" s="127" t="s">
        <v>146</v>
      </c>
      <c r="D29" s="127" t="s">
        <v>140</v>
      </c>
    </row>
    <row r="30" spans="1:8" ht="13.9" customHeight="1" thickBot="1">
      <c r="A30" s="130" t="s">
        <v>154</v>
      </c>
      <c r="B30" s="134"/>
      <c r="C30" s="131">
        <f>IF(B$1&gt;20,0,IF(B$1&lt;3,0,D30))</f>
        <v>0</v>
      </c>
      <c r="D30" s="132">
        <f>IF($B30=1,IF($B7&gt;8500000,IF($B7&gt;10000000,1500000*0.1,ROUNDUP(($B7-8500000)*0.1,0)),0),0)</f>
        <v>0</v>
      </c>
      <c r="E30" s="35"/>
    </row>
    <row r="31" spans="1:8" ht="13.9" customHeight="1">
      <c r="A31" s="128">
        <v>1</v>
      </c>
      <c r="B31" s="133" t="str">
        <f ca="1">簡易試算表!CO75</f>
        <v/>
      </c>
      <c r="C31" s="129">
        <f t="shared" ref="C31:C37" ca="1" si="11">IF(B$1&gt;20,0,IF(B$1&lt;3,0,D31))</f>
        <v>0</v>
      </c>
      <c r="D31" s="129">
        <f ca="1">IF($B31=1,IF($B8&gt;8500000,IF($B8&gt;10000000,1500000*0.1,ROUNDUP(($B8-8500000)*0.1,0)),0),0)</f>
        <v>0</v>
      </c>
      <c r="E31" s="35"/>
    </row>
    <row r="32" spans="1:8" ht="13.9" customHeight="1">
      <c r="A32" s="36">
        <v>2</v>
      </c>
      <c r="B32" s="43" t="str">
        <f ca="1">簡易試算表!CO76</f>
        <v/>
      </c>
      <c r="C32" s="37">
        <f t="shared" ca="1" si="11"/>
        <v>0</v>
      </c>
      <c r="D32" s="37">
        <f t="shared" ref="D32:D37" ca="1" si="12">IF($B32=1,IF($B9&gt;8500000,IF($B9&gt;10000000,1500000*0.1,ROUNDUP(($B9-8500000)*0.1,0)),0),0)</f>
        <v>0</v>
      </c>
      <c r="E32" s="35"/>
    </row>
    <row r="33" spans="1:5" ht="13.9" customHeight="1">
      <c r="A33" s="36">
        <v>3</v>
      </c>
      <c r="B33" s="43" t="str">
        <f ca="1">簡易試算表!CO77</f>
        <v/>
      </c>
      <c r="C33" s="37">
        <f t="shared" ca="1" si="11"/>
        <v>0</v>
      </c>
      <c r="D33" s="37">
        <f t="shared" ca="1" si="12"/>
        <v>0</v>
      </c>
      <c r="E33" s="35"/>
    </row>
    <row r="34" spans="1:5" ht="13.9" customHeight="1">
      <c r="A34" s="36">
        <v>4</v>
      </c>
      <c r="B34" s="43" t="str">
        <f ca="1">簡易試算表!CO78</f>
        <v/>
      </c>
      <c r="C34" s="37">
        <f t="shared" ca="1" si="11"/>
        <v>0</v>
      </c>
      <c r="D34" s="37">
        <f t="shared" ca="1" si="12"/>
        <v>0</v>
      </c>
      <c r="E34" s="35"/>
    </row>
    <row r="35" spans="1:5" ht="13.9" customHeight="1">
      <c r="A35" s="36">
        <v>5</v>
      </c>
      <c r="B35" s="43" t="str">
        <f ca="1">簡易試算表!CO79</f>
        <v/>
      </c>
      <c r="C35" s="37">
        <f t="shared" ca="1" si="11"/>
        <v>0</v>
      </c>
      <c r="D35" s="37">
        <f t="shared" ca="1" si="12"/>
        <v>0</v>
      </c>
      <c r="E35" s="35"/>
    </row>
    <row r="36" spans="1:5" ht="13.9" customHeight="1">
      <c r="A36" s="36">
        <v>6</v>
      </c>
      <c r="B36" s="43" t="str">
        <f ca="1">簡易試算表!CO80</f>
        <v/>
      </c>
      <c r="C36" s="37">
        <f t="shared" ref="C36" ca="1" si="13">IF(B$1&gt;20,0,IF(B$1&lt;3,0,D36))</f>
        <v>0</v>
      </c>
      <c r="D36" s="37">
        <f t="shared" ca="1" si="12"/>
        <v>0</v>
      </c>
      <c r="E36" s="35"/>
    </row>
    <row r="37" spans="1:5" ht="13.9" customHeight="1">
      <c r="A37" s="38">
        <v>7</v>
      </c>
      <c r="B37" s="44" t="str">
        <f ca="1">簡易試算表!CO81</f>
        <v/>
      </c>
      <c r="C37" s="39">
        <f t="shared" ca="1" si="11"/>
        <v>0</v>
      </c>
      <c r="D37" s="39">
        <f t="shared" ca="1" si="12"/>
        <v>0</v>
      </c>
      <c r="E37" s="35"/>
    </row>
    <row r="38" spans="1:5" s="41" customFormat="1" ht="13.9" customHeight="1">
      <c r="A38" s="32" t="s">
        <v>141</v>
      </c>
      <c r="B38" s="45"/>
      <c r="C38" s="40"/>
      <c r="D38" s="40"/>
    </row>
    <row r="39" spans="1:5" s="27" customFormat="1" ht="13.9" customHeight="1" thickBot="1">
      <c r="A39" s="126" t="s">
        <v>134</v>
      </c>
      <c r="B39" s="127" t="s">
        <v>145</v>
      </c>
      <c r="C39" s="127" t="s">
        <v>146</v>
      </c>
      <c r="D39" s="127" t="s">
        <v>140</v>
      </c>
    </row>
    <row r="40" spans="1:5" ht="13.9" customHeight="1" thickBot="1">
      <c r="A40" s="130" t="s">
        <v>154</v>
      </c>
      <c r="B40" s="134"/>
      <c r="C40" s="131">
        <f>IF(B$1&gt;20,0,IF(B$1&lt;3,0,D40))</f>
        <v>0</v>
      </c>
      <c r="D40" s="132">
        <f>IF($B40=1,IF($B17&gt;8500000,IF($B17&gt;10000000,1500000*0.1,ROUNDUP(($B17-8500000)*0.1,0)),0),0)</f>
        <v>0</v>
      </c>
      <c r="E40" s="35"/>
    </row>
    <row r="41" spans="1:5" ht="13.9" customHeight="1">
      <c r="A41" s="128">
        <v>1</v>
      </c>
      <c r="B41" s="133" t="str">
        <f ca="1">簡易試算表!CO75</f>
        <v/>
      </c>
      <c r="C41" s="129">
        <f t="shared" ref="C41:C46" ca="1" si="14">IF(B$1&gt;20,0,IF(B$1&lt;3,0,D41))</f>
        <v>0</v>
      </c>
      <c r="D41" s="129">
        <f ca="1">IF($B41=1,IF($B18&gt;8500000,IF($B18&gt;10000000,1500000*0.1,ROUNDUP(($B18-8500000)*0.1,0)),0),0)</f>
        <v>0</v>
      </c>
      <c r="E41" s="35"/>
    </row>
    <row r="42" spans="1:5" ht="13.9" customHeight="1">
      <c r="A42" s="36">
        <v>2</v>
      </c>
      <c r="B42" s="43" t="str">
        <f ca="1">簡易試算表!CO76</f>
        <v/>
      </c>
      <c r="C42" s="37">
        <f t="shared" ca="1" si="14"/>
        <v>0</v>
      </c>
      <c r="D42" s="37">
        <f t="shared" ref="D42:D46" ca="1" si="15">IF($B42=1,IF($B19&gt;8500000,IF($B19&gt;10000000,1500000*0.1,ROUNDUP(($B19-8500000)*0.1,0)),0),0)</f>
        <v>0</v>
      </c>
      <c r="E42" s="35"/>
    </row>
    <row r="43" spans="1:5" ht="13.9" customHeight="1">
      <c r="A43" s="36">
        <v>3</v>
      </c>
      <c r="B43" s="43" t="str">
        <f ca="1">簡易試算表!CO77</f>
        <v/>
      </c>
      <c r="C43" s="37">
        <f t="shared" ca="1" si="14"/>
        <v>0</v>
      </c>
      <c r="D43" s="37">
        <f t="shared" ca="1" si="15"/>
        <v>0</v>
      </c>
      <c r="E43" s="35"/>
    </row>
    <row r="44" spans="1:5" ht="13.9" customHeight="1">
      <c r="A44" s="36">
        <v>4</v>
      </c>
      <c r="B44" s="43" t="str">
        <f ca="1">簡易試算表!CO78</f>
        <v/>
      </c>
      <c r="C44" s="37">
        <f t="shared" ca="1" si="14"/>
        <v>0</v>
      </c>
      <c r="D44" s="37">
        <f t="shared" ca="1" si="15"/>
        <v>0</v>
      </c>
      <c r="E44" s="35"/>
    </row>
    <row r="45" spans="1:5" ht="13.9" customHeight="1">
      <c r="A45" s="36">
        <v>5</v>
      </c>
      <c r="B45" s="43" t="str">
        <f ca="1">簡易試算表!CO79</f>
        <v/>
      </c>
      <c r="C45" s="37">
        <f t="shared" ca="1" si="14"/>
        <v>0</v>
      </c>
      <c r="D45" s="37">
        <f t="shared" ca="1" si="15"/>
        <v>0</v>
      </c>
      <c r="E45" s="35"/>
    </row>
    <row r="46" spans="1:5" ht="13.9" customHeight="1">
      <c r="A46" s="38">
        <v>6</v>
      </c>
      <c r="B46" s="44" t="str">
        <f ca="1">簡易試算表!CO80</f>
        <v/>
      </c>
      <c r="C46" s="39">
        <f t="shared" ca="1" si="14"/>
        <v>0</v>
      </c>
      <c r="D46" s="39">
        <f t="shared" ca="1" si="15"/>
        <v>0</v>
      </c>
      <c r="E46" s="35"/>
    </row>
    <row r="47" spans="1:5" s="41" customFormat="1" ht="13.9" customHeight="1">
      <c r="A47" s="31"/>
      <c r="B47" s="45"/>
      <c r="C47" s="40"/>
      <c r="D47" s="40"/>
    </row>
    <row r="48" spans="1:5" s="41" customFormat="1" ht="13.9" customHeight="1">
      <c r="A48" s="32" t="s">
        <v>147</v>
      </c>
      <c r="B48" s="45"/>
      <c r="C48" s="40"/>
      <c r="D48" s="40"/>
    </row>
    <row r="49" spans="1:5" s="41" customFormat="1" ht="13.9" customHeight="1">
      <c r="A49" s="32" t="s">
        <v>210</v>
      </c>
      <c r="B49" s="45"/>
      <c r="C49" s="40"/>
      <c r="D49" s="40"/>
    </row>
    <row r="50" spans="1:5" s="31" customFormat="1" ht="13.9" customHeight="1">
      <c r="A50" s="32" t="s">
        <v>144</v>
      </c>
      <c r="B50" s="34"/>
      <c r="C50" s="30"/>
    </row>
    <row r="51" spans="1:5" s="27" customFormat="1" ht="13.9" customHeight="1" thickBot="1">
      <c r="A51" s="126" t="s">
        <v>134</v>
      </c>
      <c r="B51" s="127" t="s">
        <v>137</v>
      </c>
      <c r="C51" s="127" t="s">
        <v>148</v>
      </c>
      <c r="D51" s="127" t="s">
        <v>146</v>
      </c>
      <c r="E51" s="127" t="s">
        <v>140</v>
      </c>
    </row>
    <row r="52" spans="1:5" ht="13.9" customHeight="1" thickBot="1">
      <c r="A52" s="231" t="str">
        <f>簡易試算表!$AW$67</f>
        <v/>
      </c>
      <c r="B52" s="131">
        <f t="shared" ref="B52:B57" si="16">C7</f>
        <v>0</v>
      </c>
      <c r="C52" s="131">
        <f>IF(A52="",0,IF(DATEDIF(A52,$D$1,"Y")&lt;65,C75,C88))</f>
        <v>0</v>
      </c>
      <c r="D52" s="131">
        <f t="shared" ref="D52:D59" si="17">IF(B$1&gt;20,0,IF(B$1&lt;3,0,E52))</f>
        <v>0</v>
      </c>
      <c r="E52" s="132">
        <f>IF(IF(B52&gt;100000,100000,B52)+IF(C52&gt;100000,100000,C52)&gt;100000,IF(B52&gt;100000,100000,B52)+IF(C52&gt;100000,100000,C52)-100000,0)</f>
        <v>0</v>
      </c>
    </row>
    <row r="53" spans="1:5" ht="13.9" customHeight="1">
      <c r="A53" s="232" t="str">
        <f ca="1">簡易試算表!$AW$75</f>
        <v/>
      </c>
      <c r="B53" s="129">
        <f t="shared" ca="1" si="16"/>
        <v>0</v>
      </c>
      <c r="C53" s="135">
        <f ca="1">IF(A53="",0,IF(ISERROR(DATEDIF(A53,$D$1,"Y")),0,IF(DATEDIF(A53,$D$1,"Y")&lt;65,C76,C89)))</f>
        <v>0</v>
      </c>
      <c r="D53" s="129">
        <f t="shared" ca="1" si="17"/>
        <v>0</v>
      </c>
      <c r="E53" s="129">
        <f t="shared" ref="E53:E59" ca="1" si="18">IF(IF(B53&gt;100000,100000,B53)+IF(C53&gt;100000,100000,C53)&gt;100000,IF(B53&gt;100000,100000,B53)+IF(C53&gt;100000,100000,C53)-100000,0)</f>
        <v>0</v>
      </c>
    </row>
    <row r="54" spans="1:5" ht="13.9" customHeight="1">
      <c r="A54" s="232" t="str">
        <f ca="1">簡易試算表!$AW$76</f>
        <v/>
      </c>
      <c r="B54" s="37">
        <f t="shared" ca="1" si="16"/>
        <v>0</v>
      </c>
      <c r="C54" s="37">
        <f t="shared" ref="C54:C59" ca="1" si="19">IF(A54="",0,IF(ISERROR(DATEDIF(A54,$D$1,"Y")),0,IF(DATEDIF(A54,$D$1,"Y")&lt;65,C77,C90)))</f>
        <v>0</v>
      </c>
      <c r="D54" s="37">
        <f t="shared" ca="1" si="17"/>
        <v>0</v>
      </c>
      <c r="E54" s="37">
        <f t="shared" ca="1" si="18"/>
        <v>0</v>
      </c>
    </row>
    <row r="55" spans="1:5" ht="13.9" customHeight="1">
      <c r="A55" s="232" t="str">
        <f ca="1">簡易試算表!$AW$77</f>
        <v/>
      </c>
      <c r="B55" s="37">
        <f t="shared" ca="1" si="16"/>
        <v>0</v>
      </c>
      <c r="C55" s="37">
        <f t="shared" ca="1" si="19"/>
        <v>0</v>
      </c>
      <c r="D55" s="37">
        <f t="shared" ca="1" si="17"/>
        <v>0</v>
      </c>
      <c r="E55" s="37">
        <f t="shared" ca="1" si="18"/>
        <v>0</v>
      </c>
    </row>
    <row r="56" spans="1:5" ht="13.9" customHeight="1">
      <c r="A56" s="232" t="str">
        <f ca="1">簡易試算表!$AW$78</f>
        <v/>
      </c>
      <c r="B56" s="37">
        <f t="shared" ca="1" si="16"/>
        <v>0</v>
      </c>
      <c r="C56" s="37">
        <f t="shared" ca="1" si="19"/>
        <v>0</v>
      </c>
      <c r="D56" s="37">
        <f t="shared" ca="1" si="17"/>
        <v>0</v>
      </c>
      <c r="E56" s="37">
        <f t="shared" ca="1" si="18"/>
        <v>0</v>
      </c>
    </row>
    <row r="57" spans="1:5" ht="13.9" customHeight="1">
      <c r="A57" s="232" t="str">
        <f ca="1">簡易試算表!$AW$79</f>
        <v/>
      </c>
      <c r="B57" s="37">
        <f t="shared" ca="1" si="16"/>
        <v>0</v>
      </c>
      <c r="C57" s="37">
        <f t="shared" ca="1" si="19"/>
        <v>0</v>
      </c>
      <c r="D57" s="37">
        <f t="shared" ca="1" si="17"/>
        <v>0</v>
      </c>
      <c r="E57" s="37">
        <f t="shared" ca="1" si="18"/>
        <v>0</v>
      </c>
    </row>
    <row r="58" spans="1:5" ht="13.9" customHeight="1">
      <c r="A58" s="232" t="str">
        <f ca="1">簡易試算表!$AW$80</f>
        <v/>
      </c>
      <c r="B58" s="37">
        <f t="shared" ref="B58:B59" ca="1" si="20">C13</f>
        <v>0</v>
      </c>
      <c r="C58" s="37">
        <f t="shared" ca="1" si="19"/>
        <v>0</v>
      </c>
      <c r="D58" s="37">
        <f t="shared" ref="D58" ca="1" si="21">IF(B$1&gt;20,0,IF(B$1&lt;3,0,E58))</f>
        <v>0</v>
      </c>
      <c r="E58" s="37">
        <f t="shared" ref="E58" ca="1" si="22">IF(IF(B58&gt;100000,100000,B58)+IF(C58&gt;100000,100000,C58)&gt;100000,IF(B58&gt;100000,100000,B58)+IF(C58&gt;100000,100000,C58)-100000,0)</f>
        <v>0</v>
      </c>
    </row>
    <row r="59" spans="1:5" ht="13.9" customHeight="1">
      <c r="A59" s="232" t="str">
        <f ca="1">簡易試算表!$AW$81</f>
        <v/>
      </c>
      <c r="B59" s="39">
        <f t="shared" ca="1" si="20"/>
        <v>0</v>
      </c>
      <c r="C59" s="39">
        <f t="shared" ca="1" si="19"/>
        <v>0</v>
      </c>
      <c r="D59" s="39">
        <f t="shared" ca="1" si="17"/>
        <v>0</v>
      </c>
      <c r="E59" s="39">
        <f t="shared" ca="1" si="18"/>
        <v>0</v>
      </c>
    </row>
    <row r="60" spans="1:5" s="42" customFormat="1" ht="13.9" customHeight="1">
      <c r="A60" s="32" t="s">
        <v>141</v>
      </c>
      <c r="B60" s="40"/>
      <c r="C60" s="40"/>
      <c r="D60" s="40"/>
      <c r="E60" s="40"/>
    </row>
    <row r="61" spans="1:5" s="27" customFormat="1" ht="13.9" customHeight="1" thickBot="1">
      <c r="A61" s="126" t="s">
        <v>134</v>
      </c>
      <c r="B61" s="127" t="s">
        <v>137</v>
      </c>
      <c r="C61" s="127" t="s">
        <v>148</v>
      </c>
      <c r="D61" s="127" t="s">
        <v>146</v>
      </c>
      <c r="E61" s="127" t="s">
        <v>140</v>
      </c>
    </row>
    <row r="62" spans="1:5" ht="13.9" customHeight="1" thickBot="1">
      <c r="A62" s="231" t="str">
        <f>簡易試算表!$AW$67</f>
        <v/>
      </c>
      <c r="B62" s="131">
        <f t="shared" ref="B62:B68" si="23">C17</f>
        <v>0</v>
      </c>
      <c r="C62" s="131">
        <f>IF(A62="",0,IF(DATEDIF(A62,$D$1,"Y")&lt;65,C75,C88))</f>
        <v>0</v>
      </c>
      <c r="D62" s="131">
        <f>IF(B$1&gt;20,0,IF(B$1&lt;3,0,E62))</f>
        <v>0</v>
      </c>
      <c r="E62" s="132">
        <f>IF(IF(B62&gt;100000,100000,B62)+IF(C62&gt;100000,100000,C62)&gt;100000,IF(B62&gt;100000,100000,B62)+IF(C62&gt;100000,100000,C62)-100000,0)</f>
        <v>0</v>
      </c>
    </row>
    <row r="63" spans="1:5" ht="13.9" customHeight="1">
      <c r="A63" s="232" t="str">
        <f ca="1">簡易試算表!$AW$75</f>
        <v/>
      </c>
      <c r="B63" s="129">
        <f t="shared" ca="1" si="23"/>
        <v>0</v>
      </c>
      <c r="C63" s="135">
        <f ca="1">IF(A63="",0,IF(ISERROR(DATEDIF(A63,$D$1,"Y")),0,IF(DATEDIF(A63,$D$1,"Y")&lt;65,C76,C89)))</f>
        <v>0</v>
      </c>
      <c r="D63" s="129">
        <f t="shared" ref="D63:D69" ca="1" si="24">IF(B$1&gt;20,0,IF(B$1&lt;3,0,E63))</f>
        <v>0</v>
      </c>
      <c r="E63" s="129">
        <f t="shared" ref="E63:E69" ca="1" si="25">IF(IF(B63&gt;100000,100000,B63)+IF(C63&gt;100000,100000,C63)&gt;100000,IF(B63&gt;100000,100000,B63)+IF(C63&gt;100000,100000,C63)-100000,0)</f>
        <v>0</v>
      </c>
    </row>
    <row r="64" spans="1:5" ht="13.9" customHeight="1">
      <c r="A64" s="232" t="str">
        <f ca="1">簡易試算表!$AW$76</f>
        <v/>
      </c>
      <c r="B64" s="37">
        <f t="shared" ca="1" si="23"/>
        <v>0</v>
      </c>
      <c r="C64" s="37">
        <f t="shared" ref="C64:C69" ca="1" si="26">IF(A64="",0,IF(ISERROR(DATEDIF(A64,$D$1,"Y")),0,IF(DATEDIF(A64,$D$1,"Y")&lt;65,C77,C90)))</f>
        <v>0</v>
      </c>
      <c r="D64" s="37">
        <f t="shared" ca="1" si="24"/>
        <v>0</v>
      </c>
      <c r="E64" s="37">
        <f t="shared" ca="1" si="25"/>
        <v>0</v>
      </c>
    </row>
    <row r="65" spans="1:6" ht="13.9" customHeight="1">
      <c r="A65" s="232" t="str">
        <f ca="1">簡易試算表!$AW$77</f>
        <v/>
      </c>
      <c r="B65" s="37">
        <f t="shared" ca="1" si="23"/>
        <v>0</v>
      </c>
      <c r="C65" s="37">
        <f t="shared" ca="1" si="26"/>
        <v>0</v>
      </c>
      <c r="D65" s="37">
        <f t="shared" ca="1" si="24"/>
        <v>0</v>
      </c>
      <c r="E65" s="37">
        <f t="shared" ca="1" si="25"/>
        <v>0</v>
      </c>
    </row>
    <row r="66" spans="1:6" ht="13.9" customHeight="1">
      <c r="A66" s="232" t="str">
        <f ca="1">簡易試算表!$AW$78</f>
        <v/>
      </c>
      <c r="B66" s="37">
        <f t="shared" ca="1" si="23"/>
        <v>0</v>
      </c>
      <c r="C66" s="37">
        <f t="shared" ca="1" si="26"/>
        <v>0</v>
      </c>
      <c r="D66" s="37">
        <f t="shared" ca="1" si="24"/>
        <v>0</v>
      </c>
      <c r="E66" s="37">
        <f t="shared" ca="1" si="25"/>
        <v>0</v>
      </c>
    </row>
    <row r="67" spans="1:6" ht="13.9" customHeight="1">
      <c r="A67" s="232" t="str">
        <f ca="1">簡易試算表!$AW$79</f>
        <v/>
      </c>
      <c r="B67" s="37">
        <f t="shared" ca="1" si="23"/>
        <v>0</v>
      </c>
      <c r="C67" s="37">
        <f t="shared" ca="1" si="26"/>
        <v>0</v>
      </c>
      <c r="D67" s="37">
        <f t="shared" ca="1" si="24"/>
        <v>0</v>
      </c>
      <c r="E67" s="37">
        <f t="shared" ca="1" si="25"/>
        <v>0</v>
      </c>
    </row>
    <row r="68" spans="1:6" ht="13.9" customHeight="1">
      <c r="A68" s="232" t="str">
        <f ca="1">簡易試算表!$AW$80</f>
        <v/>
      </c>
      <c r="B68" s="37">
        <f t="shared" ca="1" si="23"/>
        <v>0</v>
      </c>
      <c r="C68" s="37">
        <f t="shared" ca="1" si="26"/>
        <v>0</v>
      </c>
      <c r="D68" s="125"/>
      <c r="E68" s="125"/>
    </row>
    <row r="69" spans="1:6" ht="13.9" customHeight="1">
      <c r="A69" s="233" t="str">
        <f ca="1">簡易試算表!$AW$81</f>
        <v/>
      </c>
      <c r="B69" s="39">
        <f t="shared" ref="B69" ca="1" si="27">C24</f>
        <v>0</v>
      </c>
      <c r="C69" s="39">
        <f t="shared" ca="1" si="26"/>
        <v>0</v>
      </c>
      <c r="D69" s="39">
        <f t="shared" ca="1" si="24"/>
        <v>0</v>
      </c>
      <c r="E69" s="39">
        <f t="shared" ca="1" si="25"/>
        <v>0</v>
      </c>
    </row>
    <row r="70" spans="1:6" s="42" customFormat="1" ht="13.9" customHeight="1">
      <c r="A70" s="31"/>
      <c r="B70" s="40"/>
      <c r="C70" s="40"/>
      <c r="D70" s="40"/>
      <c r="E70" s="40"/>
    </row>
    <row r="71" spans="1:6" s="42" customFormat="1" ht="13.9" customHeight="1">
      <c r="A71" s="42" t="s">
        <v>149</v>
      </c>
      <c r="B71" s="40"/>
      <c r="C71" s="40"/>
      <c r="D71" s="40"/>
      <c r="E71" s="40"/>
    </row>
    <row r="72" spans="1:6" s="42" customFormat="1" ht="13.9" customHeight="1">
      <c r="A72" s="32" t="s">
        <v>211</v>
      </c>
      <c r="B72" s="40"/>
      <c r="C72" s="40"/>
      <c r="D72" s="40"/>
      <c r="E72" s="40"/>
    </row>
    <row r="73" spans="1:6" s="42" customFormat="1" ht="13.9" customHeight="1">
      <c r="A73" s="32" t="s">
        <v>150</v>
      </c>
      <c r="B73" s="46"/>
      <c r="C73" s="46"/>
      <c r="D73" s="46"/>
      <c r="E73" s="46"/>
    </row>
    <row r="74" spans="1:6" s="50" customFormat="1" ht="13.9" customHeight="1" thickBot="1">
      <c r="A74" s="47" t="s">
        <v>134</v>
      </c>
      <c r="B74" s="48" t="s">
        <v>151</v>
      </c>
      <c r="C74" s="48" t="s">
        <v>148</v>
      </c>
      <c r="D74" s="48" t="s">
        <v>152</v>
      </c>
      <c r="E74" s="48" t="s">
        <v>140</v>
      </c>
      <c r="F74" s="49"/>
    </row>
    <row r="75" spans="1:6" ht="13.9" customHeight="1" thickBot="1">
      <c r="A75" s="130" t="s">
        <v>154</v>
      </c>
      <c r="B75" s="131">
        <f>IF(簡易試算表!BP67=1,0,簡易試算表!BG67)</f>
        <v>0</v>
      </c>
      <c r="C75" s="131">
        <f t="shared" ref="C75:C82" si="28">IF(B$1&gt;20,D75,IF(B$1&lt;=2,D75,E75))</f>
        <v>0</v>
      </c>
      <c r="D75" s="131">
        <f>IF($B75&lt;=700000,0,IF($B75&lt;1300000,$B75-700000,IF($B75&lt;4100000,ROUNDDOWN($B75*0.75,0)-375000,IF($B75&lt;7700000,ROUNDDOWN($B75*0.85,0)-785000,ROUNDDOWN($B75*0.95,0)-1555000))))</f>
        <v>0</v>
      </c>
      <c r="E75" s="132">
        <f>IF($B75&lt;=600000,0,IF($B75&lt;1300000,$B75-600000,IF($B75&lt;4100000,ROUNDDOWN($B75*0.75,0)-275000,IF($B75&lt;7700000,ROUNDDOWN($B75*0.85,0)-685000,IF($B75&lt;10000000,ROUNDDOWN($B75*0.95,0)-1455000,$B75-1955000)))))</f>
        <v>0</v>
      </c>
    </row>
    <row r="76" spans="1:6" ht="13.9" customHeight="1">
      <c r="A76" s="128">
        <v>1</v>
      </c>
      <c r="B76" s="129">
        <f>簡易試算表!CE75</f>
        <v>0</v>
      </c>
      <c r="C76" s="129">
        <f t="shared" si="28"/>
        <v>0</v>
      </c>
      <c r="D76" s="129">
        <f t="shared" ref="D76:D82" si="29">IF($B76&lt;=700000,0,IF($B76&lt;1300000,$B76-700000,IF($B76&lt;4100000,ROUNDDOWN($B76*0.75,0)-375000,IF($B76&lt;7700000,ROUNDDOWN($B76*0.85,0)-785000,ROUNDDOWN($B76*0.95,0)-1555000))))</f>
        <v>0</v>
      </c>
      <c r="E76" s="129">
        <f t="shared" ref="E76:E82" si="30">IF($B76&lt;=600000,0,IF($B76&lt;1300000,$B76-600000,IF($B76&lt;4100000,ROUNDDOWN($B76*0.75,0)-275000,IF($B76&lt;7700000,ROUNDDOWN($B76*0.85,0)-685000,IF($B76&lt;10000000,ROUNDDOWN($B76*0.95,0)-1455000,$B76-1955000)))))</f>
        <v>0</v>
      </c>
    </row>
    <row r="77" spans="1:6" ht="13.9" customHeight="1">
      <c r="A77" s="36">
        <v>2</v>
      </c>
      <c r="B77" s="37">
        <f>簡易試算表!CE76</f>
        <v>0</v>
      </c>
      <c r="C77" s="37">
        <f t="shared" si="28"/>
        <v>0</v>
      </c>
      <c r="D77" s="37">
        <f t="shared" si="29"/>
        <v>0</v>
      </c>
      <c r="E77" s="37">
        <f t="shared" si="30"/>
        <v>0</v>
      </c>
    </row>
    <row r="78" spans="1:6" ht="13.9" customHeight="1">
      <c r="A78" s="36">
        <v>3</v>
      </c>
      <c r="B78" s="37">
        <f>簡易試算表!CE77</f>
        <v>0</v>
      </c>
      <c r="C78" s="37">
        <f t="shared" si="28"/>
        <v>0</v>
      </c>
      <c r="D78" s="37">
        <f t="shared" si="29"/>
        <v>0</v>
      </c>
      <c r="E78" s="37">
        <f t="shared" si="30"/>
        <v>0</v>
      </c>
    </row>
    <row r="79" spans="1:6" ht="13.9" customHeight="1">
      <c r="A79" s="36">
        <v>4</v>
      </c>
      <c r="B79" s="37">
        <f>簡易試算表!CE78</f>
        <v>0</v>
      </c>
      <c r="C79" s="37">
        <f t="shared" si="28"/>
        <v>0</v>
      </c>
      <c r="D79" s="37">
        <f t="shared" si="29"/>
        <v>0</v>
      </c>
      <c r="E79" s="37">
        <f t="shared" si="30"/>
        <v>0</v>
      </c>
    </row>
    <row r="80" spans="1:6" ht="13.9" customHeight="1">
      <c r="A80" s="36">
        <v>5</v>
      </c>
      <c r="B80" s="37">
        <f>簡易試算表!CE79</f>
        <v>0</v>
      </c>
      <c r="C80" s="37">
        <f t="shared" si="28"/>
        <v>0</v>
      </c>
      <c r="D80" s="37">
        <f t="shared" si="29"/>
        <v>0</v>
      </c>
      <c r="E80" s="37">
        <f t="shared" si="30"/>
        <v>0</v>
      </c>
    </row>
    <row r="81" spans="1:6" ht="13.9" customHeight="1">
      <c r="A81" s="36">
        <v>6</v>
      </c>
      <c r="B81" s="37">
        <f>簡易試算表!CE80</f>
        <v>0</v>
      </c>
      <c r="C81" s="37">
        <f t="shared" ref="C81" si="31">IF(B$1&gt;20,D81,IF(B$1&lt;=2,D81,E81))</f>
        <v>0</v>
      </c>
      <c r="D81" s="37">
        <f t="shared" si="29"/>
        <v>0</v>
      </c>
      <c r="E81" s="37">
        <f t="shared" si="30"/>
        <v>0</v>
      </c>
    </row>
    <row r="82" spans="1:6" ht="13.9" customHeight="1">
      <c r="A82" s="38">
        <v>7</v>
      </c>
      <c r="B82" s="39">
        <f>簡易試算表!CE81</f>
        <v>0</v>
      </c>
      <c r="C82" s="39">
        <f t="shared" si="28"/>
        <v>0</v>
      </c>
      <c r="D82" s="39">
        <f t="shared" si="29"/>
        <v>0</v>
      </c>
      <c r="E82" s="39">
        <f t="shared" si="30"/>
        <v>0</v>
      </c>
    </row>
    <row r="83" spans="1:6" s="42" customFormat="1" ht="13.9" customHeight="1">
      <c r="A83" s="31"/>
      <c r="B83" s="40"/>
      <c r="C83" s="40"/>
      <c r="D83" s="40"/>
      <c r="E83" s="40"/>
    </row>
    <row r="84" spans="1:6" s="42" customFormat="1" ht="13.9" customHeight="1">
      <c r="A84" s="42" t="s">
        <v>153</v>
      </c>
      <c r="B84" s="40"/>
      <c r="C84" s="40"/>
      <c r="D84" s="40"/>
      <c r="E84" s="40"/>
    </row>
    <row r="85" spans="1:6" s="42" customFormat="1" ht="13.9" customHeight="1">
      <c r="A85" s="32" t="s">
        <v>211</v>
      </c>
      <c r="B85" s="40"/>
      <c r="C85" s="40"/>
      <c r="D85" s="40"/>
      <c r="E85" s="40"/>
    </row>
    <row r="86" spans="1:6" s="42" customFormat="1" ht="13.9" customHeight="1">
      <c r="A86" s="32" t="s">
        <v>150</v>
      </c>
      <c r="B86" s="46"/>
      <c r="C86" s="46"/>
      <c r="D86" s="46"/>
      <c r="E86" s="46"/>
    </row>
    <row r="87" spans="1:6" s="50" customFormat="1" ht="13.9" customHeight="1" thickBot="1">
      <c r="A87" s="47" t="s">
        <v>134</v>
      </c>
      <c r="B87" s="48" t="s">
        <v>151</v>
      </c>
      <c r="C87" s="48" t="s">
        <v>148</v>
      </c>
      <c r="D87" s="48" t="s">
        <v>152</v>
      </c>
      <c r="E87" s="48" t="s">
        <v>140</v>
      </c>
      <c r="F87" s="49"/>
    </row>
    <row r="88" spans="1:6" ht="13.9" customHeight="1" thickBot="1">
      <c r="A88" s="130" t="s">
        <v>154</v>
      </c>
      <c r="B88" s="131">
        <f>IF(簡易試算表!BP67=1,0,簡易試算表!BG67)</f>
        <v>0</v>
      </c>
      <c r="C88" s="131">
        <f t="shared" ref="C88:C95" si="32">IF(B$1&gt;20,D88,IF(B$1&lt;=2,D88,E88))</f>
        <v>0</v>
      </c>
      <c r="D88" s="131">
        <f t="shared" ref="D88:D95" si="33">IF($B88&lt;=1200000,0,IF($B88&lt;3300000,$B88-1200000,IF($B88&lt;4100000,ROUNDDOWN($B88*0.75,0)-375000,IF($B88&lt;7700000,ROUNDDOWN($B88*0.85,0)-785000,ROUNDDOWN($B88*0.95,0)-1555000))))</f>
        <v>0</v>
      </c>
      <c r="E88" s="132">
        <f t="shared" ref="E88:E95" si="34">IF($B88&lt;=1100000,0,IF($B88&lt;3300000,$B88-1100000,IF($B88&lt;4100000,ROUNDDOWN($B88*0.75,0)-275000,IF($B88&lt;7700000,ROUNDDOWN($B88*0.85,0)-685000,IF($B88&lt;10000000,ROUNDDOWN($B88*0.95,0)-1455000,$B88-1955000)))))</f>
        <v>0</v>
      </c>
    </row>
    <row r="89" spans="1:6" ht="13.9" customHeight="1">
      <c r="A89" s="128">
        <v>1</v>
      </c>
      <c r="B89" s="129">
        <f>簡易試算表!CE75</f>
        <v>0</v>
      </c>
      <c r="C89" s="129">
        <f t="shared" si="32"/>
        <v>0</v>
      </c>
      <c r="D89" s="129">
        <f t="shared" si="33"/>
        <v>0</v>
      </c>
      <c r="E89" s="129">
        <f t="shared" si="34"/>
        <v>0</v>
      </c>
    </row>
    <row r="90" spans="1:6" ht="13.9" customHeight="1">
      <c r="A90" s="36">
        <v>2</v>
      </c>
      <c r="B90" s="37">
        <f>簡易試算表!CE76</f>
        <v>0</v>
      </c>
      <c r="C90" s="37">
        <f t="shared" si="32"/>
        <v>0</v>
      </c>
      <c r="D90" s="37">
        <f t="shared" si="33"/>
        <v>0</v>
      </c>
      <c r="E90" s="37">
        <f t="shared" si="34"/>
        <v>0</v>
      </c>
    </row>
    <row r="91" spans="1:6" ht="13.9" customHeight="1">
      <c r="A91" s="36">
        <v>3</v>
      </c>
      <c r="B91" s="37">
        <f>簡易試算表!CE77</f>
        <v>0</v>
      </c>
      <c r="C91" s="37">
        <f t="shared" si="32"/>
        <v>0</v>
      </c>
      <c r="D91" s="37">
        <f t="shared" si="33"/>
        <v>0</v>
      </c>
      <c r="E91" s="37">
        <f t="shared" si="34"/>
        <v>0</v>
      </c>
    </row>
    <row r="92" spans="1:6" ht="13.9" customHeight="1">
      <c r="A92" s="36">
        <v>4</v>
      </c>
      <c r="B92" s="37">
        <f>簡易試算表!CE78</f>
        <v>0</v>
      </c>
      <c r="C92" s="37">
        <f t="shared" si="32"/>
        <v>0</v>
      </c>
      <c r="D92" s="37">
        <f t="shared" si="33"/>
        <v>0</v>
      </c>
      <c r="E92" s="37">
        <f t="shared" si="34"/>
        <v>0</v>
      </c>
    </row>
    <row r="93" spans="1:6" ht="13.9" customHeight="1">
      <c r="A93" s="36">
        <v>5</v>
      </c>
      <c r="B93" s="37">
        <f>簡易試算表!CE79</f>
        <v>0</v>
      </c>
      <c r="C93" s="37">
        <f t="shared" si="32"/>
        <v>0</v>
      </c>
      <c r="D93" s="37">
        <f t="shared" si="33"/>
        <v>0</v>
      </c>
      <c r="E93" s="37">
        <f t="shared" si="34"/>
        <v>0</v>
      </c>
    </row>
    <row r="94" spans="1:6" ht="13.9" customHeight="1">
      <c r="A94" s="36">
        <v>6</v>
      </c>
      <c r="B94" s="37">
        <f>簡易試算表!CE80</f>
        <v>0</v>
      </c>
      <c r="C94" s="37">
        <f t="shared" ref="C94" si="35">IF(B$1&gt;20,D94,IF(B$1&lt;=2,D94,E94))</f>
        <v>0</v>
      </c>
      <c r="D94" s="37">
        <f t="shared" si="33"/>
        <v>0</v>
      </c>
      <c r="E94" s="37">
        <f t="shared" si="34"/>
        <v>0</v>
      </c>
    </row>
    <row r="95" spans="1:6" ht="13.9" customHeight="1">
      <c r="A95" s="38">
        <v>7</v>
      </c>
      <c r="B95" s="39">
        <f>簡易試算表!CE81</f>
        <v>0</v>
      </c>
      <c r="C95" s="39">
        <f t="shared" si="32"/>
        <v>0</v>
      </c>
      <c r="D95" s="39">
        <f t="shared" si="33"/>
        <v>0</v>
      </c>
      <c r="E95" s="39">
        <f t="shared" si="34"/>
        <v>0</v>
      </c>
    </row>
    <row r="97" spans="1:6" ht="13.9" customHeight="1">
      <c r="A97" s="42" t="s">
        <v>212</v>
      </c>
      <c r="B97" s="40"/>
      <c r="C97" s="40"/>
      <c r="D97" s="40"/>
      <c r="E97" s="40"/>
    </row>
    <row r="98" spans="1:6" ht="13.9" customHeight="1">
      <c r="A98" s="32" t="s">
        <v>213</v>
      </c>
      <c r="B98" s="40"/>
      <c r="C98" s="40"/>
      <c r="D98" s="40"/>
      <c r="E98" s="40"/>
    </row>
    <row r="99" spans="1:6" ht="13.9" customHeight="1">
      <c r="A99" s="32"/>
      <c r="B99" s="46"/>
      <c r="C99" s="46"/>
      <c r="D99" s="46"/>
      <c r="E99" s="46"/>
    </row>
    <row r="100" spans="1:6" ht="13.9" customHeight="1" thickBot="1">
      <c r="A100" s="47" t="s">
        <v>134</v>
      </c>
      <c r="B100" s="48" t="s">
        <v>137</v>
      </c>
      <c r="C100" s="48" t="s">
        <v>148</v>
      </c>
      <c r="D100" s="48" t="s">
        <v>214</v>
      </c>
      <c r="E100" s="48" t="s">
        <v>216</v>
      </c>
      <c r="F100" s="48" t="s">
        <v>215</v>
      </c>
    </row>
    <row r="101" spans="1:6" ht="13.9" customHeight="1" thickBot="1">
      <c r="A101" s="130" t="s">
        <v>154</v>
      </c>
      <c r="B101" s="131">
        <f>C7</f>
        <v>0</v>
      </c>
      <c r="C101" s="131">
        <f>C52</f>
        <v>0</v>
      </c>
      <c r="D101" s="131">
        <f>C30+D52</f>
        <v>0</v>
      </c>
      <c r="E101" s="137">
        <f>IF(簡易試算表!BP67&gt;0,0,簡易試算表!BJ67)</f>
        <v>0</v>
      </c>
      <c r="F101" s="132">
        <f>B101+C101-D101+E101</f>
        <v>0</v>
      </c>
    </row>
    <row r="102" spans="1:6" ht="13.9" customHeight="1">
      <c r="A102" s="128">
        <v>1</v>
      </c>
      <c r="B102" s="135">
        <f ca="1">C8</f>
        <v>0</v>
      </c>
      <c r="C102" s="135">
        <f ca="1">C53</f>
        <v>0</v>
      </c>
      <c r="D102" s="135">
        <f ca="1">C31+D53</f>
        <v>0</v>
      </c>
      <c r="E102" s="135">
        <f>簡易試算表!CH75</f>
        <v>0</v>
      </c>
      <c r="F102" s="135">
        <f ca="1">B102+C102-D102+E102</f>
        <v>0</v>
      </c>
    </row>
    <row r="103" spans="1:6" ht="13.9" customHeight="1">
      <c r="A103" s="36">
        <v>2</v>
      </c>
      <c r="B103" s="129">
        <f t="shared" ref="B103:B108" ca="1" si="36">C9</f>
        <v>0</v>
      </c>
      <c r="C103" s="129">
        <f t="shared" ref="C103:C108" ca="1" si="37">C54</f>
        <v>0</v>
      </c>
      <c r="D103" s="129">
        <f t="shared" ref="D103:D108" ca="1" si="38">C32+D54</f>
        <v>0</v>
      </c>
      <c r="E103" s="37">
        <f>簡易試算表!CH76</f>
        <v>0</v>
      </c>
      <c r="F103" s="37">
        <f t="shared" ref="F103:F108" ca="1" si="39">B103+C103-D103+E103</f>
        <v>0</v>
      </c>
    </row>
    <row r="104" spans="1:6" ht="13.9" customHeight="1">
      <c r="A104" s="36">
        <v>3</v>
      </c>
      <c r="B104" s="129">
        <f t="shared" ca="1" si="36"/>
        <v>0</v>
      </c>
      <c r="C104" s="129">
        <f t="shared" ca="1" si="37"/>
        <v>0</v>
      </c>
      <c r="D104" s="129">
        <f t="shared" ca="1" si="38"/>
        <v>0</v>
      </c>
      <c r="E104" s="37">
        <f>簡易試算表!CH77</f>
        <v>0</v>
      </c>
      <c r="F104" s="37">
        <f t="shared" ca="1" si="39"/>
        <v>0</v>
      </c>
    </row>
    <row r="105" spans="1:6" ht="13.9" customHeight="1">
      <c r="A105" s="36">
        <v>4</v>
      </c>
      <c r="B105" s="129">
        <f t="shared" ca="1" si="36"/>
        <v>0</v>
      </c>
      <c r="C105" s="129">
        <f t="shared" ca="1" si="37"/>
        <v>0</v>
      </c>
      <c r="D105" s="129">
        <f t="shared" ca="1" si="38"/>
        <v>0</v>
      </c>
      <c r="E105" s="37">
        <f>簡易試算表!CH78</f>
        <v>0</v>
      </c>
      <c r="F105" s="37">
        <f t="shared" ca="1" si="39"/>
        <v>0</v>
      </c>
    </row>
    <row r="106" spans="1:6" ht="13.9" customHeight="1">
      <c r="A106" s="36">
        <v>5</v>
      </c>
      <c r="B106" s="129">
        <f t="shared" ca="1" si="36"/>
        <v>0</v>
      </c>
      <c r="C106" s="129">
        <f t="shared" ca="1" si="37"/>
        <v>0</v>
      </c>
      <c r="D106" s="129">
        <f t="shared" ca="1" si="38"/>
        <v>0</v>
      </c>
      <c r="E106" s="37">
        <f>簡易試算表!CH79</f>
        <v>0</v>
      </c>
      <c r="F106" s="37">
        <f t="shared" ca="1" si="39"/>
        <v>0</v>
      </c>
    </row>
    <row r="107" spans="1:6" ht="13.9" customHeight="1">
      <c r="A107" s="36">
        <v>6</v>
      </c>
      <c r="B107" s="129">
        <f t="shared" ca="1" si="36"/>
        <v>0</v>
      </c>
      <c r="C107" s="129">
        <f t="shared" ca="1" si="37"/>
        <v>0</v>
      </c>
      <c r="D107" s="129">
        <f t="shared" ca="1" si="38"/>
        <v>0</v>
      </c>
      <c r="E107" s="37">
        <f>簡易試算表!CH80</f>
        <v>0</v>
      </c>
      <c r="F107" s="37">
        <f t="shared" ca="1" si="39"/>
        <v>0</v>
      </c>
    </row>
    <row r="108" spans="1:6" ht="13.9" customHeight="1">
      <c r="A108" s="38">
        <v>7</v>
      </c>
      <c r="B108" s="136">
        <f t="shared" ca="1" si="36"/>
        <v>0</v>
      </c>
      <c r="C108" s="136">
        <f t="shared" ca="1" si="37"/>
        <v>0</v>
      </c>
      <c r="D108" s="136">
        <f t="shared" ca="1" si="38"/>
        <v>0</v>
      </c>
      <c r="E108" s="39">
        <f>簡易試算表!CH81</f>
        <v>0</v>
      </c>
      <c r="F108" s="39">
        <f t="shared" ca="1" si="39"/>
        <v>0</v>
      </c>
    </row>
    <row r="109" spans="1:6" ht="13.9" customHeight="1">
      <c r="A109" s="32" t="s">
        <v>141</v>
      </c>
      <c r="B109" s="40"/>
      <c r="C109" s="40"/>
      <c r="D109" s="40"/>
      <c r="E109" s="40"/>
    </row>
    <row r="110" spans="1:6" ht="13.9" customHeight="1" thickBot="1">
      <c r="A110" s="126" t="s">
        <v>134</v>
      </c>
      <c r="B110" s="48" t="s">
        <v>137</v>
      </c>
      <c r="C110" s="48" t="s">
        <v>148</v>
      </c>
      <c r="D110" s="48" t="s">
        <v>214</v>
      </c>
      <c r="E110" s="48" t="s">
        <v>216</v>
      </c>
      <c r="F110" s="48" t="s">
        <v>215</v>
      </c>
    </row>
    <row r="111" spans="1:6" ht="13.9" customHeight="1" thickBot="1">
      <c r="A111" s="130" t="s">
        <v>154</v>
      </c>
      <c r="B111" s="131">
        <f>C17</f>
        <v>0</v>
      </c>
      <c r="C111" s="131">
        <f>C62</f>
        <v>0</v>
      </c>
      <c r="D111" s="131">
        <f>C40+D62</f>
        <v>0</v>
      </c>
      <c r="E111" s="137">
        <f>IF(簡易試算表!BP67&gt;0,0,簡易試算表!BJ67)</f>
        <v>0</v>
      </c>
      <c r="F111" s="132">
        <f>B111+C111-D111+E111</f>
        <v>0</v>
      </c>
    </row>
    <row r="112" spans="1:6" ht="13.9" customHeight="1">
      <c r="A112" s="128">
        <v>1</v>
      </c>
      <c r="B112" s="135">
        <f ca="1">C18</f>
        <v>0</v>
      </c>
      <c r="C112" s="135">
        <f ca="1">C63</f>
        <v>0</v>
      </c>
      <c r="D112" s="135">
        <f ca="1">C41+D63</f>
        <v>0</v>
      </c>
      <c r="E112" s="135">
        <f>簡易試算表!CH75</f>
        <v>0</v>
      </c>
      <c r="F112" s="135">
        <f ca="1">B112+C112-D112+E112</f>
        <v>0</v>
      </c>
    </row>
    <row r="113" spans="1:6" ht="13.9" customHeight="1">
      <c r="A113" s="36">
        <v>2</v>
      </c>
      <c r="B113" s="129">
        <f t="shared" ref="B113:B118" ca="1" si="40">C19</f>
        <v>0</v>
      </c>
      <c r="C113" s="37">
        <f t="shared" ref="C113:C118" ca="1" si="41">C64</f>
        <v>0</v>
      </c>
      <c r="D113" s="129">
        <f t="shared" ref="D113:D118" ca="1" si="42">C42+D64</f>
        <v>0</v>
      </c>
      <c r="E113" s="129">
        <f>簡易試算表!CH76</f>
        <v>0</v>
      </c>
      <c r="F113" s="129">
        <f t="shared" ref="F113:F118" ca="1" si="43">B113+C113-D113+E113</f>
        <v>0</v>
      </c>
    </row>
    <row r="114" spans="1:6" ht="13.9" customHeight="1">
      <c r="A114" s="36">
        <v>3</v>
      </c>
      <c r="B114" s="129">
        <f t="shared" ca="1" si="40"/>
        <v>0</v>
      </c>
      <c r="C114" s="37">
        <f t="shared" ca="1" si="41"/>
        <v>0</v>
      </c>
      <c r="D114" s="129">
        <f t="shared" ca="1" si="42"/>
        <v>0</v>
      </c>
      <c r="E114" s="129">
        <f>簡易試算表!CH77</f>
        <v>0</v>
      </c>
      <c r="F114" s="129">
        <f t="shared" ca="1" si="43"/>
        <v>0</v>
      </c>
    </row>
    <row r="115" spans="1:6" ht="13.9" customHeight="1">
      <c r="A115" s="36">
        <v>4</v>
      </c>
      <c r="B115" s="129">
        <f t="shared" ca="1" si="40"/>
        <v>0</v>
      </c>
      <c r="C115" s="37">
        <f t="shared" ca="1" si="41"/>
        <v>0</v>
      </c>
      <c r="D115" s="129">
        <f t="shared" ca="1" si="42"/>
        <v>0</v>
      </c>
      <c r="E115" s="129">
        <f>簡易試算表!CH78</f>
        <v>0</v>
      </c>
      <c r="F115" s="129">
        <f t="shared" ca="1" si="43"/>
        <v>0</v>
      </c>
    </row>
    <row r="116" spans="1:6" ht="13.9" customHeight="1">
      <c r="A116" s="36">
        <v>5</v>
      </c>
      <c r="B116" s="129">
        <f t="shared" ca="1" si="40"/>
        <v>0</v>
      </c>
      <c r="C116" s="37">
        <f t="shared" ca="1" si="41"/>
        <v>0</v>
      </c>
      <c r="D116" s="129">
        <f t="shared" ca="1" si="42"/>
        <v>0</v>
      </c>
      <c r="E116" s="129">
        <f>簡易試算表!CH79</f>
        <v>0</v>
      </c>
      <c r="F116" s="129">
        <f t="shared" ca="1" si="43"/>
        <v>0</v>
      </c>
    </row>
    <row r="117" spans="1:6" ht="13.9" customHeight="1">
      <c r="A117" s="36">
        <v>6</v>
      </c>
      <c r="B117" s="129">
        <f t="shared" ca="1" si="40"/>
        <v>0</v>
      </c>
      <c r="C117" s="37">
        <f t="shared" ca="1" si="41"/>
        <v>0</v>
      </c>
      <c r="D117" s="129">
        <f t="shared" ca="1" si="42"/>
        <v>0</v>
      </c>
      <c r="E117" s="129">
        <f>簡易試算表!CH80</f>
        <v>0</v>
      </c>
      <c r="F117" s="129">
        <f t="shared" ca="1" si="43"/>
        <v>0</v>
      </c>
    </row>
    <row r="118" spans="1:6" ht="13.9" customHeight="1">
      <c r="A118" s="38">
        <v>7</v>
      </c>
      <c r="B118" s="136">
        <f t="shared" ca="1" si="40"/>
        <v>0</v>
      </c>
      <c r="C118" s="39">
        <f t="shared" ca="1" si="41"/>
        <v>0</v>
      </c>
      <c r="D118" s="136">
        <f t="shared" ca="1" si="42"/>
        <v>0</v>
      </c>
      <c r="E118" s="136">
        <f>簡易試算表!CH81</f>
        <v>0</v>
      </c>
      <c r="F118" s="136">
        <f t="shared" ca="1" si="43"/>
        <v>0</v>
      </c>
    </row>
  </sheetData>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sheetPr>
  <dimension ref="A1:BN157"/>
  <sheetViews>
    <sheetView zoomScale="85" zoomScaleNormal="85" workbookViewId="0">
      <selection activeCell="H5" sqref="H5"/>
    </sheetView>
  </sheetViews>
  <sheetFormatPr defaultColWidth="9" defaultRowHeight="14.25"/>
  <cols>
    <col min="1" max="1" width="17.5" style="54" customWidth="1"/>
    <col min="2" max="2" width="12.75" style="124" customWidth="1"/>
    <col min="3" max="3" width="9" style="55"/>
    <col min="4" max="4" width="12.75" style="124" customWidth="1"/>
    <col min="5" max="5" width="12.75" style="55" customWidth="1"/>
    <col min="6" max="6" width="5.75" style="54" customWidth="1"/>
    <col min="7" max="7" width="5" style="54" customWidth="1"/>
    <col min="8" max="8" width="10.125" style="54" customWidth="1"/>
    <col min="9" max="9" width="12.75" style="54" customWidth="1"/>
    <col min="10" max="10" width="5.375" style="54" customWidth="1"/>
    <col min="11" max="11" width="12.75" style="56" customWidth="1"/>
    <col min="12" max="12" width="5.375" style="54" customWidth="1"/>
    <col min="13" max="13" width="6.75" style="54" customWidth="1"/>
    <col min="14" max="14" width="5.375" style="57" customWidth="1"/>
    <col min="15" max="15" width="12.75" style="56" customWidth="1"/>
    <col min="16" max="16" width="5.375" style="54" customWidth="1"/>
    <col min="17" max="17" width="6.75" style="54" customWidth="1"/>
    <col min="18" max="18" width="5.375" style="54" customWidth="1"/>
    <col min="19" max="19" width="12.75" style="54" customWidth="1"/>
    <col min="20" max="20" width="13.75" style="54" customWidth="1"/>
    <col min="21" max="21" width="9" style="58"/>
    <col min="22" max="66" width="9" style="54"/>
    <col min="67" max="16384" width="9" style="56"/>
  </cols>
  <sheetData>
    <row r="1" spans="1:22" s="54" customFormat="1" ht="18.75" customHeight="1">
      <c r="A1" s="54" t="s">
        <v>163</v>
      </c>
      <c r="B1" s="55"/>
      <c r="C1" s="55"/>
      <c r="D1" s="55"/>
      <c r="E1" s="55"/>
      <c r="K1" s="56"/>
      <c r="N1" s="57"/>
      <c r="O1" s="56"/>
      <c r="U1" s="58"/>
    </row>
    <row r="2" spans="1:22" s="54" customFormat="1" ht="25.5" customHeight="1" thickBot="1">
      <c r="A2" s="59" t="s">
        <v>164</v>
      </c>
      <c r="B2" s="60" t="s">
        <v>165</v>
      </c>
      <c r="C2" s="61" t="s">
        <v>166</v>
      </c>
      <c r="D2" s="61" t="s">
        <v>167</v>
      </c>
      <c r="E2" s="61" t="s">
        <v>168</v>
      </c>
      <c r="F2" s="59" t="s">
        <v>169</v>
      </c>
      <c r="H2" s="54">
        <f>簡易試算表!AW62</f>
        <v>6</v>
      </c>
      <c r="I2" s="62"/>
      <c r="K2" s="63" t="str">
        <f>IF(Q6=0,"","※　試算表の軽減割合を選択してください!!")</f>
        <v/>
      </c>
      <c r="N2" s="57"/>
      <c r="O2" s="63"/>
      <c r="U2" s="58"/>
    </row>
    <row r="3" spans="1:22" ht="19.5" customHeight="1" thickTop="1" thickBot="1">
      <c r="A3" s="64" t="s">
        <v>170</v>
      </c>
      <c r="B3" s="202">
        <f>IF(簡易試算表!BP67=0,所得換算!F101,0)</f>
        <v>0</v>
      </c>
      <c r="C3" s="203" t="s">
        <v>171</v>
      </c>
      <c r="D3" s="289">
        <f>IF(所得換算!A52="",0,IF(DATEDIF(所得換算!A52,所得換算!$D$1,"Y")&gt;64,150000,0))</f>
        <v>0</v>
      </c>
      <c r="E3" s="66">
        <f>IF((B3-D3)&lt;0,0,B3-D3)</f>
        <v>0</v>
      </c>
      <c r="F3" s="67"/>
      <c r="H3" s="68" t="s">
        <v>172</v>
      </c>
      <c r="I3" s="69">
        <f>VLOOKUP(簡易試算表!$AW$62,案分率等!$A:$X,案分率等!$X$1,0)</f>
        <v>430000</v>
      </c>
      <c r="J3" s="70" t="s">
        <v>173</v>
      </c>
      <c r="K3" s="71">
        <v>100000</v>
      </c>
      <c r="L3" s="72" t="s">
        <v>174</v>
      </c>
      <c r="M3" s="73">
        <f ca="1">IF(簡易試算表!AW62&gt;20,0,IF(簡易試算表!AW62&lt;3,0,簡易試算表!CS82))</f>
        <v>0</v>
      </c>
      <c r="N3" s="74" t="s">
        <v>175</v>
      </c>
      <c r="O3" s="75"/>
      <c r="P3" s="75"/>
      <c r="Q3" s="75"/>
      <c r="R3" s="76" t="s">
        <v>176</v>
      </c>
      <c r="S3" s="77">
        <f ca="1">I3+(K3*M3)</f>
        <v>430000</v>
      </c>
      <c r="T3" s="78" t="str">
        <f ca="1">IF(AND(C25&gt;0,$S$7&lt;=S3,U6=14),"7割該当","非該当")</f>
        <v>非該当</v>
      </c>
      <c r="U3" s="54">
        <f ca="1">IF($S$7&lt;=S3,7,0)</f>
        <v>7</v>
      </c>
      <c r="V3" s="54">
        <f ca="1">IF($S$7&lt;=S3,0.3,1)</f>
        <v>0.3</v>
      </c>
    </row>
    <row r="4" spans="1:22" ht="19.5" customHeight="1" thickBot="1">
      <c r="A4" s="79" t="s">
        <v>177</v>
      </c>
      <c r="B4" s="204"/>
      <c r="C4" s="205">
        <f>IF(B4="",0,1)</f>
        <v>0</v>
      </c>
      <c r="D4" s="204"/>
      <c r="E4" s="80">
        <f>B4-D4</f>
        <v>0</v>
      </c>
      <c r="F4" s="81"/>
      <c r="H4" s="68" t="s">
        <v>178</v>
      </c>
      <c r="I4" s="69">
        <f>VLOOKUP(簡易試算表!$AW$62,案分率等!$A:$X,案分率等!$X$1,0)</f>
        <v>430000</v>
      </c>
      <c r="J4" s="70" t="s">
        <v>173</v>
      </c>
      <c r="K4" s="71">
        <v>100000</v>
      </c>
      <c r="L4" s="72" t="s">
        <v>174</v>
      </c>
      <c r="M4" s="73">
        <f ca="1">IF(簡易試算表!AW62&gt;20,0,IF(簡易試算表!AW62&lt;3,0,簡易試算表!CS82))</f>
        <v>0</v>
      </c>
      <c r="N4" s="74" t="s">
        <v>179</v>
      </c>
      <c r="O4" s="71">
        <f>VLOOKUP(簡易試算表!$AW$62,案分率等!A:Y,案分率等!Y1,FALSE)</f>
        <v>295000</v>
      </c>
      <c r="P4" s="72" t="s">
        <v>174</v>
      </c>
      <c r="Q4" s="73">
        <f ca="1">簡易試算表!CQ82</f>
        <v>0</v>
      </c>
      <c r="R4" s="76" t="s">
        <v>180</v>
      </c>
      <c r="S4" s="77">
        <f ca="1">I4+(K4*M4)+(O4*Q4)</f>
        <v>430000</v>
      </c>
      <c r="T4" s="78" t="str">
        <f ca="1">IF(AND($S$7&lt;=S4,U6=7),"5割該当","非該当")</f>
        <v>非該当</v>
      </c>
      <c r="U4" s="54">
        <f ca="1">IF($S$7&lt;=S4,5,0)</f>
        <v>5</v>
      </c>
      <c r="V4" s="54">
        <f ca="1">IF($S$7&lt;=S4,0.5,1)</f>
        <v>0.5</v>
      </c>
    </row>
    <row r="5" spans="1:22" ht="19.5" customHeight="1" thickBot="1">
      <c r="A5" s="675" t="s">
        <v>181</v>
      </c>
      <c r="B5" s="206"/>
      <c r="C5" s="205">
        <f>IF(B5="",0,1)</f>
        <v>0</v>
      </c>
      <c r="D5" s="204"/>
      <c r="E5" s="80">
        <f>B5-D5</f>
        <v>0</v>
      </c>
      <c r="F5" s="82"/>
      <c r="H5" s="68" t="s">
        <v>182</v>
      </c>
      <c r="I5" s="69">
        <f>VLOOKUP(簡易試算表!$AW$62,案分率等!$A:$X,案分率等!$X$1,0)</f>
        <v>430000</v>
      </c>
      <c r="J5" s="70" t="s">
        <v>173</v>
      </c>
      <c r="K5" s="71">
        <v>100000</v>
      </c>
      <c r="L5" s="72" t="s">
        <v>174</v>
      </c>
      <c r="M5" s="73">
        <f ca="1">IF(簡易試算表!AW62&gt;20,0,IF(簡易試算表!AW62&lt;3,0,簡易試算表!CS82))</f>
        <v>0</v>
      </c>
      <c r="N5" s="74" t="s">
        <v>179</v>
      </c>
      <c r="O5" s="71">
        <f>VLOOKUP(簡易試算表!AW62,案分率等!A:Z,案分率等!Z1,FALSE)</f>
        <v>545000</v>
      </c>
      <c r="P5" s="72" t="s">
        <v>174</v>
      </c>
      <c r="Q5" s="73">
        <f ca="1">簡易試算表!CQ82</f>
        <v>0</v>
      </c>
      <c r="R5" s="76" t="s">
        <v>180</v>
      </c>
      <c r="S5" s="77">
        <f ca="1">I5+(K5*M5)+(O5*Q5)</f>
        <v>430000</v>
      </c>
      <c r="T5" s="78" t="str">
        <f ca="1">IF(AND($S$7&lt;=S5,U6=2),"2割該当","非該当")</f>
        <v>非該当</v>
      </c>
      <c r="U5" s="54">
        <f ca="1">IF($S$7&lt;=S5,2,0)</f>
        <v>2</v>
      </c>
      <c r="V5" s="54">
        <f ca="1">IF($S$7&lt;=S5,0.8,1)</f>
        <v>0.8</v>
      </c>
    </row>
    <row r="6" spans="1:22" ht="19.5" customHeight="1" thickBot="1">
      <c r="A6" s="675"/>
      <c r="B6" s="206"/>
      <c r="C6" s="205">
        <f>IF(B6="",0,1)</f>
        <v>0</v>
      </c>
      <c r="D6" s="204"/>
      <c r="E6" s="80">
        <f>B6-D6</f>
        <v>0</v>
      </c>
      <c r="F6" s="82"/>
      <c r="K6" s="54"/>
      <c r="O6" s="54"/>
      <c r="U6" s="54">
        <f ca="1">SUM(U3:U5)</f>
        <v>14</v>
      </c>
      <c r="V6" s="54">
        <f ca="1">MIN(V3:V5)</f>
        <v>0.3</v>
      </c>
    </row>
    <row r="7" spans="1:22" ht="19.5" customHeight="1" thickBot="1">
      <c r="A7" s="676"/>
      <c r="B7" s="207"/>
      <c r="C7" s="208">
        <f>IF(B7="",0,1)</f>
        <v>0</v>
      </c>
      <c r="D7" s="209"/>
      <c r="E7" s="83">
        <f>B7-D7</f>
        <v>0</v>
      </c>
      <c r="F7" s="82"/>
      <c r="K7" s="54"/>
      <c r="O7" s="84" t="s">
        <v>183</v>
      </c>
      <c r="P7" s="84"/>
      <c r="Q7" s="84"/>
      <c r="R7" s="85"/>
      <c r="S7" s="86">
        <f ca="1">E11+E25</f>
        <v>0</v>
      </c>
      <c r="T7" s="677"/>
      <c r="U7" s="54">
        <f ca="1">MAX(U3:U5)</f>
        <v>7</v>
      </c>
    </row>
    <row r="8" spans="1:22" ht="19.5" customHeight="1" thickTop="1">
      <c r="A8" s="87" t="s">
        <v>184</v>
      </c>
      <c r="B8" s="88"/>
      <c r="C8" s="87" t="s">
        <v>185</v>
      </c>
      <c r="D8" s="89" t="s">
        <v>185</v>
      </c>
      <c r="E8" s="90">
        <f>IF(B8="",0,B8)</f>
        <v>0</v>
      </c>
      <c r="F8" s="91"/>
      <c r="K8" s="54"/>
      <c r="O8" s="85"/>
      <c r="P8" s="85"/>
      <c r="Q8" s="85"/>
      <c r="R8" s="85"/>
      <c r="S8" s="92"/>
      <c r="T8" s="678"/>
    </row>
    <row r="9" spans="1:22" ht="19.5" customHeight="1">
      <c r="A9" s="65" t="s">
        <v>186</v>
      </c>
      <c r="B9" s="93"/>
      <c r="C9" s="65" t="s">
        <v>185</v>
      </c>
      <c r="D9" s="94" t="s">
        <v>185</v>
      </c>
      <c r="E9" s="66">
        <f>IF(B9="",0,B9)</f>
        <v>0</v>
      </c>
      <c r="F9" s="91"/>
      <c r="K9" s="95"/>
      <c r="L9" s="95"/>
      <c r="M9" s="95"/>
      <c r="O9" s="95"/>
      <c r="P9" s="95"/>
      <c r="Q9" s="95"/>
      <c r="R9" s="96"/>
      <c r="S9" s="92"/>
      <c r="T9" s="97"/>
    </row>
    <row r="10" spans="1:22" ht="19.5" customHeight="1" thickBot="1">
      <c r="A10" s="98" t="s">
        <v>187</v>
      </c>
      <c r="B10" s="99"/>
      <c r="C10" s="98" t="s">
        <v>185</v>
      </c>
      <c r="D10" s="100" t="s">
        <v>185</v>
      </c>
      <c r="E10" s="101">
        <f>IF(B10="",0,B10)</f>
        <v>0</v>
      </c>
      <c r="F10" s="91"/>
      <c r="H10" s="102" t="s">
        <v>188</v>
      </c>
      <c r="K10" s="95"/>
      <c r="L10" s="95"/>
      <c r="M10" s="95"/>
      <c r="O10" s="95"/>
      <c r="P10" s="95"/>
      <c r="Q10" s="95"/>
      <c r="R10" s="96"/>
      <c r="S10" s="92"/>
      <c r="T10" s="97"/>
    </row>
    <row r="11" spans="1:22" ht="19.5" customHeight="1" thickTop="1">
      <c r="A11" s="103" t="s">
        <v>189</v>
      </c>
      <c r="B11" s="104">
        <f>SUM(B3:B9)-B10</f>
        <v>0</v>
      </c>
      <c r="C11" s="105">
        <f>SUM(C4:C7)</f>
        <v>0</v>
      </c>
      <c r="D11" s="106" t="s">
        <v>171</v>
      </c>
      <c r="E11" s="107">
        <f>SUM(E3:E7)</f>
        <v>0</v>
      </c>
      <c r="F11" s="108"/>
      <c r="G11" s="96"/>
      <c r="K11" s="95"/>
      <c r="L11" s="95"/>
      <c r="M11" s="95"/>
      <c r="O11" s="95"/>
      <c r="P11" s="95"/>
      <c r="Q11" s="95"/>
      <c r="R11" s="96"/>
      <c r="S11" s="92"/>
      <c r="T11" s="97"/>
    </row>
    <row r="12" spans="1:22" s="54" customFormat="1" ht="17.25" customHeight="1">
      <c r="B12" s="55"/>
      <c r="C12" s="55"/>
      <c r="D12" s="109"/>
      <c r="E12" s="110"/>
      <c r="F12" s="111"/>
      <c r="G12" s="96"/>
      <c r="K12" s="112"/>
      <c r="N12" s="57"/>
      <c r="O12" s="112"/>
      <c r="U12" s="58"/>
    </row>
    <row r="13" spans="1:22" s="54" customFormat="1" ht="18.75" customHeight="1">
      <c r="A13" s="54" t="s">
        <v>190</v>
      </c>
      <c r="B13" s="55"/>
      <c r="C13" s="55"/>
      <c r="D13" s="55"/>
      <c r="E13" s="55"/>
      <c r="G13" s="113"/>
      <c r="N13" s="57"/>
      <c r="U13" s="58"/>
    </row>
    <row r="14" spans="1:22" ht="25.5" customHeight="1" thickBot="1">
      <c r="A14" s="59" t="s">
        <v>164</v>
      </c>
      <c r="B14" s="114" t="s">
        <v>165</v>
      </c>
      <c r="C14" s="61" t="s">
        <v>166</v>
      </c>
      <c r="D14" s="115" t="s">
        <v>167</v>
      </c>
      <c r="E14" s="61" t="s">
        <v>168</v>
      </c>
      <c r="F14" s="59" t="s">
        <v>169</v>
      </c>
      <c r="G14" s="113"/>
      <c r="H14" s="54" t="s">
        <v>191</v>
      </c>
      <c r="K14" s="54"/>
      <c r="O14" s="54"/>
    </row>
    <row r="15" spans="1:22" ht="19.5" customHeight="1" thickTop="1">
      <c r="A15" s="103">
        <v>1</v>
      </c>
      <c r="B15" s="104">
        <f ca="1">所得換算!F112</f>
        <v>0</v>
      </c>
      <c r="C15" s="65" t="s">
        <v>185</v>
      </c>
      <c r="D15" s="289">
        <f ca="1">IF(所得換算!A53="",0,IF(ISERROR(DATEDIF(所得換算!A63,所得換算!$D$1,"Y")),0,IF(DATEDIF(所得換算!A63,所得換算!$D$1,"Y")&gt;64,150000,0)))</f>
        <v>0</v>
      </c>
      <c r="E15" s="66">
        <f ca="1">IF(B15="",0,IF((B15-D15)&lt;0,0,B15-D15))</f>
        <v>0</v>
      </c>
      <c r="F15" s="116"/>
      <c r="G15" s="113"/>
      <c r="H15" s="54" t="s">
        <v>192</v>
      </c>
      <c r="K15" s="54"/>
      <c r="O15" s="54"/>
    </row>
    <row r="16" spans="1:22" ht="19.5" customHeight="1">
      <c r="A16" s="117">
        <v>2</v>
      </c>
      <c r="B16" s="104">
        <f ca="1">所得換算!F113</f>
        <v>0</v>
      </c>
      <c r="C16" s="118" t="s">
        <v>185</v>
      </c>
      <c r="D16" s="290">
        <f ca="1">IF(所得換算!A54="",0,IF(ISERROR(DATEDIF(所得換算!A64,所得換算!$D$1,"Y")),0,IF(DATEDIF(所得換算!A64,所得換算!$D$1,"Y")&gt;64,150000,0)))</f>
        <v>0</v>
      </c>
      <c r="E16" s="66">
        <f t="shared" ref="E16:E21" ca="1" si="0">IF(B16="",0,IF((B16-D16)&lt;0,0,B16-D16))</f>
        <v>0</v>
      </c>
      <c r="F16" s="119"/>
      <c r="G16" s="113"/>
      <c r="H16" s="54" t="s">
        <v>193</v>
      </c>
      <c r="K16" s="54"/>
      <c r="O16" s="54"/>
    </row>
    <row r="17" spans="1:21" ht="19.5" customHeight="1">
      <c r="A17" s="120">
        <v>3</v>
      </c>
      <c r="B17" s="104">
        <f ca="1">所得換算!F114</f>
        <v>0</v>
      </c>
      <c r="C17" s="121" t="s">
        <v>185</v>
      </c>
      <c r="D17" s="290">
        <f ca="1">IF(所得換算!A55="",0,IF(ISERROR(DATEDIF(所得換算!A65,所得換算!$D$1,"Y")),0,IF(DATEDIF(所得換算!A65,所得換算!$D$1,"Y")&gt;64,150000,0)))</f>
        <v>0</v>
      </c>
      <c r="E17" s="66">
        <f t="shared" ca="1" si="0"/>
        <v>0</v>
      </c>
      <c r="F17" s="119"/>
      <c r="H17" s="54" t="s">
        <v>194</v>
      </c>
      <c r="K17" s="54"/>
      <c r="O17" s="54"/>
    </row>
    <row r="18" spans="1:21" ht="19.5" customHeight="1">
      <c r="A18" s="117">
        <v>4</v>
      </c>
      <c r="B18" s="104">
        <f ca="1">所得換算!F115</f>
        <v>0</v>
      </c>
      <c r="C18" s="118" t="s">
        <v>185</v>
      </c>
      <c r="D18" s="290">
        <f ca="1">IF(所得換算!A56="",0,IF(ISERROR(DATEDIF(所得換算!A66,所得換算!$D$1,"Y")),0,IF(DATEDIF(所得換算!A66,所得換算!$D$1,"Y")&gt;64,150000,0)))</f>
        <v>0</v>
      </c>
      <c r="E18" s="66">
        <f t="shared" ca="1" si="0"/>
        <v>0</v>
      </c>
      <c r="F18" s="119"/>
      <c r="H18" s="54" t="s">
        <v>195</v>
      </c>
      <c r="K18" s="54"/>
      <c r="O18" s="54"/>
    </row>
    <row r="19" spans="1:21" ht="19.5" customHeight="1">
      <c r="A19" s="117">
        <v>5</v>
      </c>
      <c r="B19" s="104">
        <f ca="1">所得換算!F116</f>
        <v>0</v>
      </c>
      <c r="C19" s="118" t="s">
        <v>185</v>
      </c>
      <c r="D19" s="290">
        <f ca="1">IF(所得換算!A57="",0,IF(ISERROR(DATEDIF(所得換算!A67,所得換算!$D$1,"Y")),0,IF(DATEDIF(所得換算!A67,所得換算!$D$1,"Y")&gt;64,150000,0)))</f>
        <v>0</v>
      </c>
      <c r="E19" s="66">
        <f t="shared" ca="1" si="0"/>
        <v>0</v>
      </c>
      <c r="F19" s="119"/>
      <c r="H19" s="63" t="s">
        <v>196</v>
      </c>
      <c r="K19" s="54"/>
      <c r="O19" s="54"/>
    </row>
    <row r="20" spans="1:21" ht="19.5" customHeight="1">
      <c r="A20" s="117">
        <v>6</v>
      </c>
      <c r="B20" s="104">
        <f ca="1">所得換算!F117</f>
        <v>0</v>
      </c>
      <c r="C20" s="118" t="s">
        <v>185</v>
      </c>
      <c r="D20" s="290">
        <f ca="1">IF(所得換算!A58="",0,IF(ISERROR(DATEDIF(所得換算!A68,所得換算!$D$1,"Y")),0,IF(DATEDIF(所得換算!A68,所得換算!$D$1,"Y")&gt;64,150000,0)))</f>
        <v>0</v>
      </c>
      <c r="E20" s="66">
        <f t="shared" ca="1" si="0"/>
        <v>0</v>
      </c>
      <c r="F20" s="119"/>
      <c r="K20" s="54"/>
      <c r="O20" s="54"/>
    </row>
    <row r="21" spans="1:21" ht="19.5" customHeight="1" thickBot="1">
      <c r="A21" s="122">
        <v>7</v>
      </c>
      <c r="B21" s="104">
        <f ca="1">所得換算!F118</f>
        <v>0</v>
      </c>
      <c r="C21" s="98" t="s">
        <v>185</v>
      </c>
      <c r="D21" s="291">
        <f ca="1">IF(所得換算!A59="",0,IF(ISERROR(DATEDIF(所得換算!A69,所得換算!$D$1,"Y")),0,IF(DATEDIF(所得換算!A69,所得換算!$D$1,"Y")&gt;64,150000,0)))</f>
        <v>0</v>
      </c>
      <c r="E21" s="66">
        <f t="shared" ca="1" si="0"/>
        <v>0</v>
      </c>
      <c r="F21" s="119"/>
      <c r="K21" s="54"/>
      <c r="O21" s="54"/>
    </row>
    <row r="22" spans="1:21" ht="19.5" customHeight="1" thickTop="1">
      <c r="A22" s="87" t="s">
        <v>184</v>
      </c>
      <c r="B22" s="88"/>
      <c r="C22" s="87" t="s">
        <v>185</v>
      </c>
      <c r="D22" s="89" t="s">
        <v>185</v>
      </c>
      <c r="E22" s="90">
        <f>IF(B22="",0,B22)</f>
        <v>0</v>
      </c>
      <c r="F22" s="91"/>
      <c r="K22" s="54"/>
      <c r="O22" s="54"/>
    </row>
    <row r="23" spans="1:21" ht="19.5" customHeight="1">
      <c r="A23" s="65" t="s">
        <v>186</v>
      </c>
      <c r="B23" s="93"/>
      <c r="C23" s="65" t="s">
        <v>185</v>
      </c>
      <c r="D23" s="94" t="s">
        <v>185</v>
      </c>
      <c r="E23" s="66">
        <f>IF(B23="",0,B23)</f>
        <v>0</v>
      </c>
      <c r="F23" s="91"/>
      <c r="H23" s="123"/>
      <c r="I23" s="679" t="s">
        <v>197</v>
      </c>
      <c r="J23" s="679"/>
      <c r="K23" s="679"/>
      <c r="L23" s="679"/>
      <c r="M23" s="679"/>
      <c r="N23" s="679"/>
      <c r="O23" s="54"/>
    </row>
    <row r="24" spans="1:21" ht="19.5" customHeight="1" thickBot="1">
      <c r="A24" s="98" t="s">
        <v>187</v>
      </c>
      <c r="B24" s="99"/>
      <c r="C24" s="98" t="s">
        <v>185</v>
      </c>
      <c r="D24" s="100" t="s">
        <v>185</v>
      </c>
      <c r="E24" s="101">
        <f>IF(B24="",0,B24)</f>
        <v>0</v>
      </c>
      <c r="F24" s="91"/>
      <c r="H24" s="123"/>
      <c r="I24" s="679"/>
      <c r="J24" s="679"/>
      <c r="K24" s="679"/>
      <c r="L24" s="679"/>
      <c r="M24" s="679"/>
      <c r="N24" s="679"/>
      <c r="O24" s="54"/>
    </row>
    <row r="25" spans="1:21" s="54" customFormat="1" ht="19.5" customHeight="1" thickTop="1">
      <c r="A25" s="103" t="s">
        <v>189</v>
      </c>
      <c r="B25" s="107">
        <f ca="1">SUM(B15:B23)-B24</f>
        <v>0</v>
      </c>
      <c r="C25" s="105">
        <f ca="1">簡易試算表!CQ82</f>
        <v>0</v>
      </c>
      <c r="D25" s="65" t="s">
        <v>171</v>
      </c>
      <c r="E25" s="107">
        <f ca="1">SUM(E15:E23)-E24</f>
        <v>0</v>
      </c>
      <c r="F25" s="108"/>
      <c r="N25" s="57"/>
      <c r="U25" s="58"/>
    </row>
    <row r="26" spans="1:21" s="54" customFormat="1" ht="24" customHeight="1">
      <c r="B26" s="55"/>
      <c r="C26" s="55"/>
      <c r="D26" s="55"/>
      <c r="E26" s="55"/>
      <c r="N26" s="57"/>
      <c r="U26" s="58"/>
    </row>
    <row r="27" spans="1:21" s="54" customFormat="1">
      <c r="B27" s="55"/>
      <c r="C27" s="55"/>
      <c r="D27" s="55"/>
      <c r="E27" s="55"/>
      <c r="N27" s="57"/>
      <c r="U27" s="58"/>
    </row>
    <row r="28" spans="1:21" s="54" customFormat="1">
      <c r="B28" s="55"/>
      <c r="C28" s="55"/>
      <c r="D28" s="55"/>
      <c r="E28" s="55"/>
      <c r="N28" s="57"/>
      <c r="U28" s="58"/>
    </row>
    <row r="29" spans="1:21" s="54" customFormat="1">
      <c r="B29" s="55"/>
      <c r="C29" s="55"/>
      <c r="D29" s="55"/>
      <c r="E29" s="55"/>
      <c r="N29" s="57"/>
      <c r="U29" s="58"/>
    </row>
    <row r="30" spans="1:21" s="54" customFormat="1">
      <c r="B30" s="55"/>
      <c r="C30" s="55"/>
      <c r="D30" s="55"/>
      <c r="E30" s="55"/>
      <c r="N30" s="57"/>
      <c r="U30" s="58"/>
    </row>
    <row r="31" spans="1:21" s="54" customFormat="1">
      <c r="B31" s="55"/>
      <c r="C31" s="55"/>
      <c r="D31" s="55"/>
      <c r="E31" s="55"/>
      <c r="N31" s="57"/>
      <c r="U31" s="58"/>
    </row>
    <row r="32" spans="1:21" s="54" customFormat="1">
      <c r="B32" s="55"/>
      <c r="C32" s="55"/>
      <c r="D32" s="55"/>
      <c r="E32" s="55"/>
      <c r="N32" s="57"/>
      <c r="U32" s="58"/>
    </row>
    <row r="33" spans="2:21" s="54" customFormat="1">
      <c r="B33" s="55"/>
      <c r="C33" s="55"/>
      <c r="D33" s="55"/>
      <c r="E33" s="55"/>
      <c r="N33" s="57"/>
      <c r="U33" s="58"/>
    </row>
    <row r="34" spans="2:21" s="54" customFormat="1">
      <c r="B34" s="55"/>
      <c r="C34" s="55"/>
      <c r="D34" s="55"/>
      <c r="E34" s="55"/>
      <c r="N34" s="57"/>
      <c r="U34" s="58"/>
    </row>
    <row r="35" spans="2:21" s="54" customFormat="1">
      <c r="B35" s="55"/>
      <c r="C35" s="55"/>
      <c r="D35" s="55"/>
      <c r="E35" s="55"/>
      <c r="N35" s="57"/>
      <c r="U35" s="58"/>
    </row>
    <row r="36" spans="2:21" s="54" customFormat="1">
      <c r="B36" s="55"/>
      <c r="C36" s="55"/>
      <c r="D36" s="55"/>
      <c r="E36" s="55"/>
      <c r="N36" s="57"/>
      <c r="U36" s="58"/>
    </row>
    <row r="37" spans="2:21" s="54" customFormat="1">
      <c r="B37" s="55"/>
      <c r="C37" s="55"/>
      <c r="D37" s="55"/>
      <c r="E37" s="55"/>
      <c r="N37" s="57"/>
      <c r="U37" s="58"/>
    </row>
    <row r="38" spans="2:21" s="54" customFormat="1">
      <c r="B38" s="55"/>
      <c r="C38" s="55"/>
      <c r="D38" s="55"/>
      <c r="E38" s="55"/>
      <c r="N38" s="57"/>
      <c r="U38" s="58"/>
    </row>
    <row r="39" spans="2:21" s="54" customFormat="1">
      <c r="B39" s="55"/>
      <c r="C39" s="55"/>
      <c r="D39" s="55"/>
      <c r="E39" s="55"/>
      <c r="N39" s="57"/>
      <c r="U39" s="58"/>
    </row>
    <row r="40" spans="2:21" s="54" customFormat="1">
      <c r="B40" s="55"/>
      <c r="C40" s="55"/>
      <c r="D40" s="55"/>
      <c r="E40" s="55"/>
      <c r="N40" s="57"/>
      <c r="U40" s="58"/>
    </row>
    <row r="41" spans="2:21" s="54" customFormat="1">
      <c r="B41" s="55"/>
      <c r="C41" s="55"/>
      <c r="D41" s="55"/>
      <c r="E41" s="55"/>
      <c r="N41" s="57"/>
      <c r="U41" s="58"/>
    </row>
    <row r="42" spans="2:21" s="54" customFormat="1">
      <c r="B42" s="55"/>
      <c r="C42" s="55"/>
      <c r="D42" s="55"/>
      <c r="E42" s="55"/>
      <c r="N42" s="57"/>
      <c r="U42" s="58"/>
    </row>
    <row r="43" spans="2:21" s="54" customFormat="1">
      <c r="B43" s="55"/>
      <c r="C43" s="55"/>
      <c r="D43" s="55"/>
      <c r="E43" s="55"/>
      <c r="N43" s="57"/>
      <c r="U43" s="58"/>
    </row>
    <row r="44" spans="2:21" s="54" customFormat="1">
      <c r="B44" s="55"/>
      <c r="C44" s="55"/>
      <c r="D44" s="55"/>
      <c r="E44" s="55"/>
      <c r="N44" s="57"/>
      <c r="U44" s="58"/>
    </row>
    <row r="45" spans="2:21" s="54" customFormat="1">
      <c r="B45" s="55"/>
      <c r="C45" s="55"/>
      <c r="D45" s="55"/>
      <c r="E45" s="55"/>
      <c r="N45" s="57"/>
      <c r="U45" s="58"/>
    </row>
    <row r="46" spans="2:21" s="54" customFormat="1">
      <c r="B46" s="55"/>
      <c r="C46" s="55"/>
      <c r="D46" s="55"/>
      <c r="E46" s="55"/>
      <c r="N46" s="57"/>
      <c r="U46" s="58"/>
    </row>
    <row r="47" spans="2:21" s="54" customFormat="1">
      <c r="B47" s="55"/>
      <c r="C47" s="55"/>
      <c r="D47" s="55"/>
      <c r="E47" s="55"/>
      <c r="N47" s="57"/>
      <c r="U47" s="58"/>
    </row>
    <row r="48" spans="2:21" s="54" customFormat="1">
      <c r="B48" s="55"/>
      <c r="C48" s="55"/>
      <c r="D48" s="55"/>
      <c r="E48" s="55"/>
      <c r="N48" s="57"/>
      <c r="U48" s="58"/>
    </row>
    <row r="49" spans="2:21" s="54" customFormat="1">
      <c r="B49" s="55"/>
      <c r="C49" s="55"/>
      <c r="D49" s="55"/>
      <c r="E49" s="55"/>
      <c r="N49" s="57"/>
      <c r="U49" s="58"/>
    </row>
    <row r="50" spans="2:21" s="54" customFormat="1">
      <c r="B50" s="55"/>
      <c r="C50" s="55"/>
      <c r="D50" s="55"/>
      <c r="E50" s="55"/>
      <c r="N50" s="57"/>
      <c r="U50" s="58"/>
    </row>
    <row r="51" spans="2:21" s="54" customFormat="1">
      <c r="B51" s="55"/>
      <c r="C51" s="55"/>
      <c r="D51" s="55"/>
      <c r="E51" s="55"/>
      <c r="N51" s="57"/>
      <c r="U51" s="58"/>
    </row>
    <row r="52" spans="2:21" s="54" customFormat="1">
      <c r="B52" s="55"/>
      <c r="C52" s="55"/>
      <c r="D52" s="55"/>
      <c r="E52" s="55"/>
      <c r="N52" s="57"/>
      <c r="U52" s="58"/>
    </row>
    <row r="53" spans="2:21" s="54" customFormat="1">
      <c r="B53" s="55"/>
      <c r="C53" s="55"/>
      <c r="D53" s="55"/>
      <c r="E53" s="55"/>
      <c r="N53" s="57"/>
      <c r="U53" s="58"/>
    </row>
    <row r="54" spans="2:21" s="54" customFormat="1">
      <c r="B54" s="55"/>
      <c r="C54" s="55"/>
      <c r="D54" s="55"/>
      <c r="E54" s="55"/>
      <c r="N54" s="57"/>
      <c r="U54" s="58"/>
    </row>
    <row r="55" spans="2:21" s="54" customFormat="1">
      <c r="B55" s="55"/>
      <c r="C55" s="55"/>
      <c r="D55" s="55"/>
      <c r="E55" s="55"/>
      <c r="N55" s="57"/>
      <c r="U55" s="58"/>
    </row>
    <row r="56" spans="2:21" s="54" customFormat="1">
      <c r="B56" s="55"/>
      <c r="C56" s="55"/>
      <c r="D56" s="55"/>
      <c r="E56" s="55"/>
      <c r="N56" s="57"/>
      <c r="U56" s="58"/>
    </row>
    <row r="57" spans="2:21" s="54" customFormat="1">
      <c r="B57" s="55"/>
      <c r="C57" s="55"/>
      <c r="D57" s="55"/>
      <c r="E57" s="55"/>
      <c r="N57" s="57"/>
      <c r="U57" s="58"/>
    </row>
    <row r="58" spans="2:21" s="54" customFormat="1">
      <c r="B58" s="55"/>
      <c r="C58" s="55"/>
      <c r="D58" s="55"/>
      <c r="E58" s="55"/>
      <c r="N58" s="57"/>
      <c r="U58" s="58"/>
    </row>
    <row r="59" spans="2:21" s="54" customFormat="1">
      <c r="B59" s="55"/>
      <c r="C59" s="55"/>
      <c r="D59" s="55"/>
      <c r="E59" s="55"/>
      <c r="N59" s="57"/>
      <c r="U59" s="58"/>
    </row>
    <row r="60" spans="2:21" s="54" customFormat="1">
      <c r="B60" s="55"/>
      <c r="C60" s="55"/>
      <c r="D60" s="55"/>
      <c r="E60" s="55"/>
      <c r="N60" s="57"/>
      <c r="U60" s="58"/>
    </row>
    <row r="61" spans="2:21" s="54" customFormat="1">
      <c r="B61" s="55"/>
      <c r="C61" s="55"/>
      <c r="D61" s="55"/>
      <c r="E61" s="55"/>
      <c r="N61" s="57"/>
      <c r="U61" s="58"/>
    </row>
    <row r="62" spans="2:21" s="54" customFormat="1">
      <c r="B62" s="55"/>
      <c r="C62" s="55"/>
      <c r="D62" s="55"/>
      <c r="E62" s="55"/>
      <c r="N62" s="57"/>
      <c r="U62" s="58"/>
    </row>
    <row r="63" spans="2:21" s="54" customFormat="1">
      <c r="B63" s="55"/>
      <c r="C63" s="55"/>
      <c r="D63" s="55"/>
      <c r="E63" s="55"/>
      <c r="N63" s="57"/>
      <c r="U63" s="58"/>
    </row>
    <row r="64" spans="2:21" s="54" customFormat="1">
      <c r="B64" s="55"/>
      <c r="C64" s="55"/>
      <c r="D64" s="55"/>
      <c r="E64" s="55"/>
      <c r="N64" s="57"/>
      <c r="U64" s="58"/>
    </row>
    <row r="65" spans="2:21" s="54" customFormat="1">
      <c r="B65" s="55"/>
      <c r="C65" s="55"/>
      <c r="D65" s="55"/>
      <c r="E65" s="55"/>
      <c r="N65" s="57"/>
      <c r="U65" s="58"/>
    </row>
    <row r="66" spans="2:21" s="54" customFormat="1">
      <c r="B66" s="55"/>
      <c r="C66" s="55"/>
      <c r="D66" s="55"/>
      <c r="E66" s="55"/>
      <c r="N66" s="57"/>
      <c r="U66" s="58"/>
    </row>
    <row r="67" spans="2:21" s="54" customFormat="1">
      <c r="B67" s="55"/>
      <c r="C67" s="55"/>
      <c r="D67" s="55"/>
      <c r="E67" s="55"/>
      <c r="N67" s="57"/>
      <c r="U67" s="58"/>
    </row>
    <row r="68" spans="2:21" s="54" customFormat="1">
      <c r="B68" s="55"/>
      <c r="C68" s="55"/>
      <c r="D68" s="55"/>
      <c r="E68" s="55"/>
      <c r="N68" s="57"/>
      <c r="U68" s="58"/>
    </row>
    <row r="69" spans="2:21" s="54" customFormat="1">
      <c r="B69" s="55"/>
      <c r="C69" s="55"/>
      <c r="D69" s="55"/>
      <c r="E69" s="55"/>
      <c r="N69" s="57"/>
      <c r="U69" s="58"/>
    </row>
    <row r="70" spans="2:21" s="54" customFormat="1">
      <c r="B70" s="55"/>
      <c r="C70" s="55"/>
      <c r="D70" s="55"/>
      <c r="E70" s="55"/>
      <c r="N70" s="57"/>
      <c r="U70" s="58"/>
    </row>
    <row r="71" spans="2:21" s="54" customFormat="1">
      <c r="B71" s="55"/>
      <c r="C71" s="55"/>
      <c r="D71" s="55"/>
      <c r="E71" s="55"/>
      <c r="N71" s="57"/>
      <c r="U71" s="58"/>
    </row>
    <row r="72" spans="2:21" s="54" customFormat="1">
      <c r="B72" s="55"/>
      <c r="C72" s="55"/>
      <c r="D72" s="55"/>
      <c r="E72" s="55"/>
      <c r="N72" s="57"/>
      <c r="U72" s="58"/>
    </row>
    <row r="73" spans="2:21" s="54" customFormat="1">
      <c r="B73" s="55"/>
      <c r="C73" s="55"/>
      <c r="D73" s="55"/>
      <c r="E73" s="55"/>
      <c r="N73" s="57"/>
      <c r="U73" s="58"/>
    </row>
    <row r="74" spans="2:21" s="54" customFormat="1">
      <c r="B74" s="55"/>
      <c r="C74" s="55"/>
      <c r="D74" s="55"/>
      <c r="E74" s="55"/>
      <c r="N74" s="57"/>
      <c r="U74" s="58"/>
    </row>
    <row r="75" spans="2:21" s="54" customFormat="1">
      <c r="B75" s="55"/>
      <c r="C75" s="55"/>
      <c r="D75" s="55"/>
      <c r="E75" s="55"/>
      <c r="N75" s="57"/>
      <c r="U75" s="58"/>
    </row>
    <row r="76" spans="2:21" s="54" customFormat="1">
      <c r="B76" s="55"/>
      <c r="C76" s="55"/>
      <c r="D76" s="55"/>
      <c r="E76" s="55"/>
      <c r="N76" s="57"/>
      <c r="U76" s="58"/>
    </row>
    <row r="77" spans="2:21" s="54" customFormat="1">
      <c r="B77" s="55"/>
      <c r="C77" s="55"/>
      <c r="D77" s="55"/>
      <c r="E77" s="55"/>
      <c r="N77" s="57"/>
      <c r="U77" s="58"/>
    </row>
    <row r="78" spans="2:21" s="54" customFormat="1">
      <c r="B78" s="55"/>
      <c r="C78" s="55"/>
      <c r="D78" s="55"/>
      <c r="E78" s="55"/>
      <c r="N78" s="57"/>
      <c r="U78" s="58"/>
    </row>
    <row r="79" spans="2:21" s="54" customFormat="1">
      <c r="B79" s="55"/>
      <c r="C79" s="55"/>
      <c r="D79" s="55"/>
      <c r="E79" s="55"/>
      <c r="N79" s="57"/>
      <c r="U79" s="58"/>
    </row>
    <row r="80" spans="2:21" s="54" customFormat="1">
      <c r="B80" s="55"/>
      <c r="C80" s="55"/>
      <c r="D80" s="55"/>
      <c r="E80" s="55"/>
      <c r="N80" s="57"/>
      <c r="U80" s="58"/>
    </row>
    <row r="81" spans="2:21" s="54" customFormat="1">
      <c r="B81" s="55"/>
      <c r="C81" s="55"/>
      <c r="D81" s="55"/>
      <c r="E81" s="55"/>
      <c r="N81" s="57"/>
      <c r="U81" s="58"/>
    </row>
    <row r="82" spans="2:21" s="54" customFormat="1">
      <c r="B82" s="55"/>
      <c r="C82" s="55"/>
      <c r="D82" s="55"/>
      <c r="E82" s="55"/>
      <c r="N82" s="57"/>
      <c r="U82" s="58"/>
    </row>
    <row r="83" spans="2:21" s="54" customFormat="1">
      <c r="B83" s="55"/>
      <c r="C83" s="55"/>
      <c r="D83" s="55"/>
      <c r="E83" s="55"/>
      <c r="N83" s="57"/>
      <c r="U83" s="58"/>
    </row>
    <row r="84" spans="2:21" s="54" customFormat="1">
      <c r="B84" s="55"/>
      <c r="C84" s="55"/>
      <c r="D84" s="55"/>
      <c r="E84" s="55"/>
      <c r="N84" s="57"/>
      <c r="U84" s="58"/>
    </row>
    <row r="85" spans="2:21" s="54" customFormat="1">
      <c r="B85" s="55"/>
      <c r="C85" s="55"/>
      <c r="D85" s="55"/>
      <c r="E85" s="55"/>
      <c r="N85" s="57"/>
      <c r="U85" s="58"/>
    </row>
    <row r="86" spans="2:21" s="54" customFormat="1">
      <c r="B86" s="55"/>
      <c r="C86" s="55"/>
      <c r="D86" s="55"/>
      <c r="E86" s="55"/>
      <c r="N86" s="57"/>
      <c r="U86" s="58"/>
    </row>
    <row r="87" spans="2:21" s="54" customFormat="1">
      <c r="B87" s="55"/>
      <c r="C87" s="55"/>
      <c r="D87" s="55"/>
      <c r="E87" s="55"/>
      <c r="N87" s="57"/>
      <c r="U87" s="58"/>
    </row>
    <row r="88" spans="2:21" s="54" customFormat="1">
      <c r="B88" s="55"/>
      <c r="C88" s="55"/>
      <c r="D88" s="55"/>
      <c r="E88" s="55"/>
      <c r="N88" s="57"/>
      <c r="U88" s="58"/>
    </row>
    <row r="89" spans="2:21" s="54" customFormat="1">
      <c r="B89" s="55"/>
      <c r="C89" s="55"/>
      <c r="D89" s="55"/>
      <c r="E89" s="55"/>
      <c r="N89" s="57"/>
      <c r="U89" s="58"/>
    </row>
    <row r="90" spans="2:21" s="54" customFormat="1">
      <c r="B90" s="55"/>
      <c r="C90" s="55"/>
      <c r="D90" s="55"/>
      <c r="E90" s="55"/>
      <c r="N90" s="57"/>
      <c r="U90" s="58"/>
    </row>
    <row r="91" spans="2:21" s="54" customFormat="1">
      <c r="B91" s="55"/>
      <c r="C91" s="55"/>
      <c r="D91" s="55"/>
      <c r="E91" s="55"/>
      <c r="N91" s="57"/>
      <c r="U91" s="58"/>
    </row>
    <row r="92" spans="2:21" s="54" customFormat="1">
      <c r="B92" s="55"/>
      <c r="C92" s="55"/>
      <c r="D92" s="55"/>
      <c r="E92" s="55"/>
      <c r="N92" s="57"/>
      <c r="U92" s="58"/>
    </row>
    <row r="93" spans="2:21" s="54" customFormat="1">
      <c r="B93" s="55"/>
      <c r="C93" s="55"/>
      <c r="D93" s="55"/>
      <c r="E93" s="55"/>
      <c r="N93" s="57"/>
      <c r="U93" s="58"/>
    </row>
    <row r="94" spans="2:21" s="54" customFormat="1">
      <c r="B94" s="55"/>
      <c r="C94" s="55"/>
      <c r="D94" s="55"/>
      <c r="E94" s="55"/>
      <c r="N94" s="57"/>
      <c r="U94" s="58"/>
    </row>
    <row r="95" spans="2:21" s="54" customFormat="1">
      <c r="B95" s="55"/>
      <c r="C95" s="55"/>
      <c r="D95" s="55"/>
      <c r="E95" s="55"/>
      <c r="N95" s="57"/>
      <c r="U95" s="58"/>
    </row>
    <row r="96" spans="2:21" s="54" customFormat="1">
      <c r="B96" s="55"/>
      <c r="C96" s="55"/>
      <c r="D96" s="55"/>
      <c r="E96" s="55"/>
      <c r="N96" s="57"/>
      <c r="U96" s="58"/>
    </row>
    <row r="97" spans="2:21" s="54" customFormat="1">
      <c r="B97" s="55"/>
      <c r="C97" s="55"/>
      <c r="D97" s="55"/>
      <c r="E97" s="55"/>
      <c r="N97" s="57"/>
      <c r="U97" s="58"/>
    </row>
    <row r="98" spans="2:21" s="54" customFormat="1">
      <c r="B98" s="55"/>
      <c r="C98" s="55"/>
      <c r="D98" s="55"/>
      <c r="E98" s="55"/>
      <c r="N98" s="57"/>
      <c r="U98" s="58"/>
    </row>
    <row r="99" spans="2:21" s="54" customFormat="1">
      <c r="B99" s="55"/>
      <c r="C99" s="55"/>
      <c r="D99" s="55"/>
      <c r="E99" s="55"/>
      <c r="N99" s="57"/>
      <c r="U99" s="58"/>
    </row>
    <row r="100" spans="2:21" s="54" customFormat="1">
      <c r="B100" s="55"/>
      <c r="C100" s="55"/>
      <c r="D100" s="55"/>
      <c r="E100" s="55"/>
      <c r="N100" s="57"/>
      <c r="U100" s="58"/>
    </row>
    <row r="101" spans="2:21" s="54" customFormat="1">
      <c r="B101" s="55"/>
      <c r="C101" s="55"/>
      <c r="D101" s="55"/>
      <c r="E101" s="55"/>
      <c r="N101" s="57"/>
      <c r="U101" s="58"/>
    </row>
    <row r="102" spans="2:21" s="54" customFormat="1">
      <c r="B102" s="55"/>
      <c r="C102" s="55"/>
      <c r="D102" s="55"/>
      <c r="E102" s="55"/>
      <c r="N102" s="57"/>
      <c r="U102" s="58"/>
    </row>
    <row r="103" spans="2:21" s="54" customFormat="1">
      <c r="B103" s="55"/>
      <c r="C103" s="55"/>
      <c r="D103" s="55"/>
      <c r="E103" s="55"/>
      <c r="N103" s="57"/>
      <c r="U103" s="58"/>
    </row>
    <row r="104" spans="2:21" s="54" customFormat="1">
      <c r="B104" s="55"/>
      <c r="C104" s="55"/>
      <c r="D104" s="55"/>
      <c r="E104" s="55"/>
      <c r="N104" s="57"/>
      <c r="U104" s="58"/>
    </row>
    <row r="105" spans="2:21" s="54" customFormat="1">
      <c r="B105" s="55"/>
      <c r="C105" s="55"/>
      <c r="D105" s="55"/>
      <c r="E105" s="55"/>
      <c r="N105" s="57"/>
      <c r="U105" s="58"/>
    </row>
    <row r="106" spans="2:21" s="54" customFormat="1">
      <c r="B106" s="55"/>
      <c r="C106" s="55"/>
      <c r="D106" s="55"/>
      <c r="E106" s="55"/>
      <c r="N106" s="57"/>
      <c r="U106" s="58"/>
    </row>
    <row r="107" spans="2:21" s="54" customFormat="1">
      <c r="B107" s="55"/>
      <c r="C107" s="55"/>
      <c r="D107" s="55"/>
      <c r="E107" s="55"/>
      <c r="N107" s="57"/>
      <c r="U107" s="58"/>
    </row>
    <row r="108" spans="2:21" s="54" customFormat="1">
      <c r="B108" s="55"/>
      <c r="C108" s="55"/>
      <c r="D108" s="55"/>
      <c r="E108" s="55"/>
      <c r="N108" s="57"/>
      <c r="U108" s="58"/>
    </row>
    <row r="109" spans="2:21" s="54" customFormat="1">
      <c r="B109" s="55"/>
      <c r="C109" s="55"/>
      <c r="D109" s="55"/>
      <c r="E109" s="55"/>
      <c r="N109" s="57"/>
      <c r="U109" s="58"/>
    </row>
    <row r="110" spans="2:21" s="54" customFormat="1">
      <c r="B110" s="55"/>
      <c r="C110" s="55"/>
      <c r="D110" s="55"/>
      <c r="E110" s="55"/>
      <c r="N110" s="57"/>
      <c r="U110" s="58"/>
    </row>
    <row r="111" spans="2:21" s="54" customFormat="1">
      <c r="B111" s="55"/>
      <c r="C111" s="55"/>
      <c r="D111" s="55"/>
      <c r="E111" s="55"/>
      <c r="N111" s="57"/>
      <c r="U111" s="58"/>
    </row>
    <row r="112" spans="2:21" s="54" customFormat="1">
      <c r="B112" s="55"/>
      <c r="C112" s="55"/>
      <c r="D112" s="55"/>
      <c r="E112" s="55"/>
      <c r="N112" s="57"/>
      <c r="U112" s="58"/>
    </row>
    <row r="113" spans="2:21" s="54" customFormat="1">
      <c r="B113" s="55"/>
      <c r="C113" s="55"/>
      <c r="D113" s="55"/>
      <c r="E113" s="55"/>
      <c r="N113" s="57"/>
      <c r="U113" s="58"/>
    </row>
    <row r="114" spans="2:21" s="54" customFormat="1">
      <c r="B114" s="55"/>
      <c r="C114" s="55"/>
      <c r="D114" s="55"/>
      <c r="E114" s="55"/>
      <c r="N114" s="57"/>
      <c r="U114" s="58"/>
    </row>
    <row r="115" spans="2:21" s="54" customFormat="1">
      <c r="B115" s="55"/>
      <c r="C115" s="55"/>
      <c r="D115" s="55"/>
      <c r="E115" s="55"/>
      <c r="N115" s="57"/>
      <c r="U115" s="58"/>
    </row>
    <row r="116" spans="2:21" s="54" customFormat="1">
      <c r="B116" s="55"/>
      <c r="C116" s="55"/>
      <c r="D116" s="55"/>
      <c r="E116" s="55"/>
      <c r="N116" s="57"/>
      <c r="U116" s="58"/>
    </row>
    <row r="117" spans="2:21" s="54" customFormat="1">
      <c r="B117" s="55"/>
      <c r="C117" s="55"/>
      <c r="D117" s="55"/>
      <c r="E117" s="55"/>
      <c r="N117" s="57"/>
      <c r="U117" s="58"/>
    </row>
    <row r="118" spans="2:21" s="54" customFormat="1">
      <c r="B118" s="55"/>
      <c r="C118" s="55"/>
      <c r="D118" s="55"/>
      <c r="E118" s="55"/>
      <c r="N118" s="57"/>
      <c r="U118" s="58"/>
    </row>
    <row r="119" spans="2:21" s="54" customFormat="1">
      <c r="B119" s="55"/>
      <c r="C119" s="55"/>
      <c r="D119" s="55"/>
      <c r="E119" s="55"/>
      <c r="N119" s="57"/>
      <c r="U119" s="58"/>
    </row>
    <row r="120" spans="2:21" s="54" customFormat="1">
      <c r="B120" s="55"/>
      <c r="C120" s="55"/>
      <c r="D120" s="55"/>
      <c r="E120" s="55"/>
      <c r="N120" s="57"/>
      <c r="U120" s="58"/>
    </row>
    <row r="121" spans="2:21" s="54" customFormat="1">
      <c r="B121" s="55"/>
      <c r="C121" s="55"/>
      <c r="D121" s="55"/>
      <c r="E121" s="55"/>
      <c r="N121" s="57"/>
      <c r="U121" s="58"/>
    </row>
    <row r="122" spans="2:21" s="54" customFormat="1">
      <c r="B122" s="55"/>
      <c r="C122" s="55"/>
      <c r="D122" s="55"/>
      <c r="E122" s="55"/>
      <c r="N122" s="57"/>
      <c r="U122" s="58"/>
    </row>
    <row r="123" spans="2:21" s="54" customFormat="1">
      <c r="B123" s="55"/>
      <c r="C123" s="55"/>
      <c r="D123" s="55"/>
      <c r="E123" s="55"/>
      <c r="N123" s="57"/>
      <c r="U123" s="58"/>
    </row>
    <row r="124" spans="2:21" s="54" customFormat="1">
      <c r="B124" s="55"/>
      <c r="C124" s="55"/>
      <c r="D124" s="55"/>
      <c r="E124" s="55"/>
      <c r="N124" s="57"/>
      <c r="U124" s="58"/>
    </row>
    <row r="125" spans="2:21" s="54" customFormat="1">
      <c r="B125" s="55"/>
      <c r="C125" s="55"/>
      <c r="D125" s="55"/>
      <c r="E125" s="55"/>
      <c r="N125" s="57"/>
      <c r="U125" s="58"/>
    </row>
    <row r="126" spans="2:21" s="54" customFormat="1">
      <c r="B126" s="55"/>
      <c r="C126" s="55"/>
      <c r="D126" s="55"/>
      <c r="E126" s="55"/>
      <c r="N126" s="57"/>
      <c r="U126" s="58"/>
    </row>
    <row r="127" spans="2:21" s="54" customFormat="1">
      <c r="B127" s="55"/>
      <c r="C127" s="55"/>
      <c r="D127" s="55"/>
      <c r="E127" s="55"/>
      <c r="N127" s="57"/>
      <c r="U127" s="58"/>
    </row>
    <row r="128" spans="2:21" s="54" customFormat="1">
      <c r="B128" s="55"/>
      <c r="C128" s="55"/>
      <c r="D128" s="55"/>
      <c r="E128" s="55"/>
      <c r="N128" s="57"/>
      <c r="U128" s="58"/>
    </row>
    <row r="129" spans="2:21" s="54" customFormat="1">
      <c r="B129" s="55"/>
      <c r="C129" s="55"/>
      <c r="D129" s="55"/>
      <c r="E129" s="55"/>
      <c r="N129" s="57"/>
      <c r="U129" s="58"/>
    </row>
    <row r="130" spans="2:21" s="54" customFormat="1">
      <c r="B130" s="55"/>
      <c r="C130" s="55"/>
      <c r="D130" s="55"/>
      <c r="E130" s="55"/>
      <c r="N130" s="57"/>
      <c r="U130" s="58"/>
    </row>
    <row r="131" spans="2:21" s="54" customFormat="1">
      <c r="B131" s="55"/>
      <c r="C131" s="55"/>
      <c r="D131" s="55"/>
      <c r="E131" s="55"/>
      <c r="N131" s="57"/>
      <c r="U131" s="58"/>
    </row>
    <row r="132" spans="2:21" s="54" customFormat="1">
      <c r="B132" s="55"/>
      <c r="C132" s="55"/>
      <c r="D132" s="55"/>
      <c r="E132" s="55"/>
      <c r="N132" s="57"/>
      <c r="U132" s="58"/>
    </row>
    <row r="133" spans="2:21" s="54" customFormat="1">
      <c r="B133" s="55"/>
      <c r="C133" s="55"/>
      <c r="D133" s="55"/>
      <c r="E133" s="55"/>
      <c r="N133" s="57"/>
      <c r="U133" s="58"/>
    </row>
    <row r="134" spans="2:21" s="54" customFormat="1">
      <c r="B134" s="55"/>
      <c r="C134" s="55"/>
      <c r="D134" s="55"/>
      <c r="E134" s="55"/>
      <c r="N134" s="57"/>
      <c r="U134" s="58"/>
    </row>
    <row r="135" spans="2:21" s="54" customFormat="1">
      <c r="B135" s="55"/>
      <c r="C135" s="55"/>
      <c r="D135" s="55"/>
      <c r="E135" s="55"/>
      <c r="N135" s="57"/>
      <c r="U135" s="58"/>
    </row>
    <row r="136" spans="2:21" s="54" customFormat="1">
      <c r="B136" s="55"/>
      <c r="C136" s="55"/>
      <c r="D136" s="55"/>
      <c r="E136" s="55"/>
      <c r="N136" s="57"/>
      <c r="U136" s="58"/>
    </row>
    <row r="137" spans="2:21" s="54" customFormat="1">
      <c r="B137" s="55"/>
      <c r="C137" s="55"/>
      <c r="D137" s="55"/>
      <c r="E137" s="55"/>
      <c r="N137" s="57"/>
      <c r="U137" s="58"/>
    </row>
    <row r="138" spans="2:21" s="54" customFormat="1">
      <c r="B138" s="55"/>
      <c r="C138" s="55"/>
      <c r="D138" s="55"/>
      <c r="E138" s="55"/>
      <c r="N138" s="57"/>
      <c r="U138" s="58"/>
    </row>
    <row r="139" spans="2:21" s="54" customFormat="1">
      <c r="B139" s="55"/>
      <c r="C139" s="55"/>
      <c r="D139" s="55"/>
      <c r="E139" s="55"/>
      <c r="N139" s="57"/>
      <c r="U139" s="58"/>
    </row>
    <row r="140" spans="2:21" s="54" customFormat="1">
      <c r="B140" s="55"/>
      <c r="C140" s="55"/>
      <c r="D140" s="55"/>
      <c r="E140" s="55"/>
      <c r="N140" s="57"/>
      <c r="U140" s="58"/>
    </row>
    <row r="141" spans="2:21" s="54" customFormat="1">
      <c r="B141" s="55"/>
      <c r="C141" s="55"/>
      <c r="D141" s="55"/>
      <c r="E141" s="55"/>
      <c r="N141" s="57"/>
      <c r="U141" s="58"/>
    </row>
    <row r="142" spans="2:21" s="54" customFormat="1">
      <c r="B142" s="55"/>
      <c r="C142" s="55"/>
      <c r="D142" s="55"/>
      <c r="E142" s="55"/>
      <c r="N142" s="57"/>
      <c r="U142" s="58"/>
    </row>
    <row r="143" spans="2:21" s="54" customFormat="1">
      <c r="B143" s="55"/>
      <c r="C143" s="55"/>
      <c r="D143" s="55"/>
      <c r="E143" s="55"/>
      <c r="N143" s="57"/>
      <c r="U143" s="58"/>
    </row>
    <row r="144" spans="2:21" s="54" customFormat="1">
      <c r="B144" s="55"/>
      <c r="C144" s="55"/>
      <c r="D144" s="55"/>
      <c r="E144" s="55"/>
      <c r="N144" s="57"/>
      <c r="U144" s="58"/>
    </row>
    <row r="145" spans="2:21" s="54" customFormat="1">
      <c r="B145" s="55"/>
      <c r="C145" s="55"/>
      <c r="D145" s="55"/>
      <c r="E145" s="55"/>
      <c r="N145" s="57"/>
      <c r="U145" s="58"/>
    </row>
    <row r="146" spans="2:21" s="54" customFormat="1">
      <c r="B146" s="55"/>
      <c r="C146" s="55"/>
      <c r="D146" s="55"/>
      <c r="E146" s="55"/>
      <c r="N146" s="57"/>
      <c r="U146" s="58"/>
    </row>
    <row r="147" spans="2:21" s="54" customFormat="1">
      <c r="B147" s="55"/>
      <c r="C147" s="55"/>
      <c r="D147" s="55"/>
      <c r="E147" s="55"/>
      <c r="N147" s="57"/>
      <c r="U147" s="58"/>
    </row>
    <row r="148" spans="2:21" s="54" customFormat="1">
      <c r="B148" s="55"/>
      <c r="C148" s="55"/>
      <c r="D148" s="55"/>
      <c r="E148" s="55"/>
      <c r="N148" s="57"/>
      <c r="U148" s="58"/>
    </row>
    <row r="149" spans="2:21" s="54" customFormat="1">
      <c r="B149" s="55"/>
      <c r="C149" s="55"/>
      <c r="D149" s="55"/>
      <c r="E149" s="55"/>
      <c r="N149" s="57"/>
      <c r="U149" s="58"/>
    </row>
    <row r="150" spans="2:21" s="54" customFormat="1">
      <c r="B150" s="55"/>
      <c r="C150" s="55"/>
      <c r="D150" s="55"/>
      <c r="E150" s="55"/>
      <c r="N150" s="57"/>
      <c r="U150" s="58"/>
    </row>
    <row r="151" spans="2:21" s="54" customFormat="1">
      <c r="B151" s="55"/>
      <c r="C151" s="55"/>
      <c r="D151" s="55"/>
      <c r="E151" s="55"/>
      <c r="N151" s="57"/>
      <c r="U151" s="58"/>
    </row>
    <row r="152" spans="2:21" s="54" customFormat="1">
      <c r="B152" s="55"/>
      <c r="C152" s="55"/>
      <c r="D152" s="55"/>
      <c r="E152" s="55"/>
      <c r="N152" s="57"/>
      <c r="U152" s="58"/>
    </row>
    <row r="153" spans="2:21" s="54" customFormat="1">
      <c r="B153" s="55"/>
      <c r="C153" s="55"/>
      <c r="D153" s="55"/>
      <c r="E153" s="55"/>
      <c r="N153" s="57"/>
      <c r="U153" s="58"/>
    </row>
    <row r="154" spans="2:21" s="54" customFormat="1">
      <c r="B154" s="55"/>
      <c r="C154" s="55"/>
      <c r="D154" s="55"/>
      <c r="E154" s="55"/>
      <c r="N154" s="57"/>
      <c r="U154" s="58"/>
    </row>
    <row r="155" spans="2:21" s="54" customFormat="1">
      <c r="B155" s="55"/>
      <c r="C155" s="55"/>
      <c r="D155" s="55"/>
      <c r="E155" s="55"/>
      <c r="N155" s="57"/>
      <c r="U155" s="58"/>
    </row>
    <row r="156" spans="2:21" s="54" customFormat="1">
      <c r="B156" s="55"/>
      <c r="C156" s="55"/>
      <c r="D156" s="55"/>
      <c r="E156" s="55"/>
      <c r="N156" s="57"/>
      <c r="U156" s="58"/>
    </row>
    <row r="157" spans="2:21">
      <c r="K157" s="54"/>
      <c r="O157" s="54"/>
    </row>
  </sheetData>
  <mergeCells count="3">
    <mergeCell ref="A5:A7"/>
    <mergeCell ref="T7:T8"/>
    <mergeCell ref="I23:N24"/>
  </mergeCells>
  <phoneticPr fontId="2"/>
  <conditionalFormatting sqref="T3">
    <cfRule type="cellIs" dxfId="2" priority="4" operator="equal">
      <formula>"7割該当"</formula>
    </cfRule>
  </conditionalFormatting>
  <conditionalFormatting sqref="T4">
    <cfRule type="cellIs" dxfId="1" priority="3" operator="equal">
      <formula>"5割該当"</formula>
    </cfRule>
  </conditionalFormatting>
  <conditionalFormatting sqref="H3">
    <cfRule type="colorScale" priority="2">
      <colorScale>
        <cfvo type="min"/>
        <cfvo type="max"/>
        <color rgb="FFFF7128"/>
        <color rgb="FFFFEF9C"/>
      </colorScale>
    </cfRule>
  </conditionalFormatting>
  <conditionalFormatting sqref="T5">
    <cfRule type="cellIs" dxfId="0" priority="1" operator="equal">
      <formula>"2割該当"</formula>
    </cfRule>
  </conditionalFormatting>
  <pageMargins left="0.70866141732283472" right="0" top="0.74803149606299213" bottom="0.74803149606299213" header="0.31496062992125984" footer="0.31496062992125984"/>
  <pageSetup paperSize="9" scale="7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GE27"/>
  <sheetViews>
    <sheetView zoomScaleNormal="100" workbookViewId="0">
      <selection activeCell="H5" sqref="H5"/>
    </sheetView>
  </sheetViews>
  <sheetFormatPr defaultRowHeight="24"/>
  <cols>
    <col min="1" max="45" width="4" style="139" customWidth="1"/>
    <col min="46" max="187" width="4" style="139" hidden="1" customWidth="1"/>
    <col min="188" max="205" width="4" style="139" customWidth="1"/>
    <col min="206" max="16384" width="9" style="139"/>
  </cols>
  <sheetData>
    <row r="1" spans="1:185" ht="13.5" customHeight="1">
      <c r="A1" s="155"/>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7"/>
    </row>
    <row r="2" spans="1:185">
      <c r="A2" s="158"/>
      <c r="B2" s="160" t="s">
        <v>315</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1"/>
      <c r="AW2" s="331" t="s">
        <v>219</v>
      </c>
      <c r="AX2" s="331"/>
      <c r="AY2" s="331"/>
      <c r="AZ2" s="331" t="s">
        <v>34</v>
      </c>
      <c r="BA2" s="331"/>
      <c r="BB2" s="331"/>
      <c r="BC2" s="331" t="s">
        <v>127</v>
      </c>
      <c r="BD2" s="331"/>
      <c r="BE2" s="331"/>
      <c r="BF2" s="331" t="s">
        <v>157</v>
      </c>
      <c r="BG2" s="331"/>
      <c r="BH2" s="331"/>
      <c r="BI2" s="331"/>
      <c r="BJ2" s="331"/>
      <c r="BK2" s="331" t="s">
        <v>234</v>
      </c>
      <c r="BL2" s="331"/>
      <c r="BM2" s="331"/>
      <c r="BN2" s="331" t="s">
        <v>251</v>
      </c>
      <c r="BO2" s="331"/>
      <c r="BP2" s="331"/>
      <c r="BQ2" s="331" t="s">
        <v>235</v>
      </c>
      <c r="BR2" s="331"/>
      <c r="BS2" s="331"/>
    </row>
    <row r="3" spans="1:185" ht="12" customHeight="1" thickBot="1">
      <c r="A3" s="158"/>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1"/>
      <c r="AW3" s="331"/>
      <c r="AX3" s="331"/>
      <c r="AY3" s="331"/>
      <c r="AZ3" s="331"/>
      <c r="BA3" s="331"/>
      <c r="BB3" s="331"/>
      <c r="BC3" s="331"/>
      <c r="BD3" s="331"/>
      <c r="BE3" s="331"/>
      <c r="BF3" s="331"/>
      <c r="BG3" s="331"/>
      <c r="BH3" s="331"/>
      <c r="BI3" s="331"/>
      <c r="BJ3" s="331"/>
      <c r="BK3" s="331"/>
      <c r="BL3" s="331"/>
      <c r="BM3" s="331"/>
      <c r="BN3" s="331"/>
      <c r="BO3" s="331"/>
      <c r="BP3" s="331"/>
      <c r="BQ3" s="331"/>
      <c r="BR3" s="331"/>
      <c r="BS3" s="331"/>
    </row>
    <row r="4" spans="1:185" ht="24.75" thickBot="1">
      <c r="A4" s="158"/>
      <c r="B4" s="140"/>
      <c r="C4" s="632" t="s">
        <v>20</v>
      </c>
      <c r="D4" s="632"/>
      <c r="E4" s="633">
        <v>6</v>
      </c>
      <c r="F4" s="633"/>
      <c r="G4" s="141" t="s">
        <v>35</v>
      </c>
      <c r="H4" s="634">
        <v>10</v>
      </c>
      <c r="I4" s="634"/>
      <c r="J4" s="141" t="s">
        <v>12</v>
      </c>
      <c r="K4" s="141"/>
      <c r="L4" s="142"/>
      <c r="M4" s="160"/>
      <c r="N4" s="160"/>
      <c r="O4" s="168" t="str">
        <f ca="1">IF(BC6&lt;AZ6,"※　現時点では翌年度の税率等が確定していないため、試算ができません。","")</f>
        <v/>
      </c>
      <c r="P4" s="160"/>
      <c r="Q4" s="160"/>
      <c r="R4" s="160"/>
      <c r="S4" s="160"/>
      <c r="T4" s="160"/>
      <c r="U4" s="160"/>
      <c r="V4" s="160"/>
      <c r="W4" s="160"/>
      <c r="X4" s="160"/>
      <c r="Y4" s="160"/>
      <c r="Z4" s="160"/>
      <c r="AA4" s="160"/>
      <c r="AB4" s="160"/>
      <c r="AC4" s="160"/>
      <c r="AD4" s="160"/>
      <c r="AE4" s="160"/>
      <c r="AF4" s="160"/>
      <c r="AG4" s="160"/>
      <c r="AH4" s="160"/>
      <c r="AI4" s="160"/>
      <c r="AJ4" s="160"/>
      <c r="AK4" s="160"/>
      <c r="AL4" s="160"/>
      <c r="AM4" s="161"/>
      <c r="AW4" s="373">
        <f>IF(H4&gt;=4,E4,E4-1)</f>
        <v>6</v>
      </c>
      <c r="AX4" s="373"/>
      <c r="AY4" s="373"/>
      <c r="AZ4" s="387">
        <f>IF(H4="","",DATEVALUE(VLOOKUP(C4,テーブル!A2:B4,2,FALSE)&amp;IF(H4+1&gt;12,E4+1,E4)&amp;"."&amp;IF(H4+1&gt;12,H4+1-12,H4+1)&amp;".1")-1)</f>
        <v>45596</v>
      </c>
      <c r="BA4" s="387"/>
      <c r="BB4" s="387"/>
      <c r="BC4" s="387">
        <f ca="1">TODAY()</f>
        <v>45729</v>
      </c>
      <c r="BD4" s="387"/>
      <c r="BE4" s="387"/>
      <c r="BF4" s="387">
        <f>VLOOKUP(AW4,案分率等!A4:AY60,案分率等!AC1,FALSE)</f>
        <v>43192</v>
      </c>
      <c r="BG4" s="387"/>
      <c r="BH4" s="387"/>
      <c r="BI4" s="373" t="s">
        <v>158</v>
      </c>
      <c r="BJ4" s="373"/>
      <c r="BK4" s="387">
        <f>DATEVALUE(VLOOKUP(C4,テーブル!A2:B4,2,FALSE)&amp;AW4+1&amp;".3.31")</f>
        <v>45747</v>
      </c>
      <c r="BL4" s="387"/>
      <c r="BM4" s="387"/>
      <c r="BN4" s="480">
        <f>DATEVALUE(VLOOKUP(C4,テーブル!A2:B4,2,FALSE)&amp;AW4&amp;".4.1")</f>
        <v>45383</v>
      </c>
      <c r="BO4" s="480"/>
      <c r="BP4" s="480"/>
      <c r="BQ4" s="373">
        <f>ROUNDDOWN(ROUNDDOWN(BK4-AZ4,0)/30+1,0)</f>
        <v>6</v>
      </c>
      <c r="BR4" s="373"/>
      <c r="BS4" s="373"/>
    </row>
    <row r="5" spans="1:185">
      <c r="A5" s="158"/>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1"/>
      <c r="AW5" s="373"/>
      <c r="AX5" s="373"/>
      <c r="AY5" s="373"/>
      <c r="AZ5" s="387"/>
      <c r="BA5" s="387"/>
      <c r="BB5" s="387"/>
      <c r="BC5" s="387"/>
      <c r="BD5" s="387"/>
      <c r="BE5" s="387"/>
      <c r="BF5" s="387"/>
      <c r="BG5" s="387"/>
      <c r="BH5" s="387"/>
      <c r="BI5" s="373"/>
      <c r="BJ5" s="373"/>
      <c r="BK5" s="387"/>
      <c r="BL5" s="387"/>
      <c r="BM5" s="387"/>
      <c r="BN5" s="480"/>
      <c r="BO5" s="480"/>
      <c r="BP5" s="480"/>
      <c r="BQ5" s="373"/>
      <c r="BR5" s="373"/>
      <c r="BS5" s="373"/>
    </row>
    <row r="6" spans="1:185">
      <c r="A6" s="158"/>
      <c r="B6" s="160" t="s">
        <v>252</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1"/>
      <c r="AZ6" s="390">
        <f>IF(AZ4="",0,YEAR(EOMONTH(AZ4,-3)))</f>
        <v>2024</v>
      </c>
      <c r="BA6" s="390"/>
      <c r="BB6" s="390"/>
      <c r="BC6" s="346">
        <f ca="1">YEAR(EOMONTH(BC4,-3))</f>
        <v>2024</v>
      </c>
      <c r="BD6" s="346"/>
      <c r="BE6" s="346"/>
      <c r="BF6" s="644" t="str">
        <f>TEXT(BF4,"ggge年m月d日")</f>
        <v>平成30年4月2日</v>
      </c>
      <c r="BG6" s="645"/>
      <c r="BH6" s="646"/>
    </row>
    <row r="7" spans="1:185" ht="12" customHeight="1" thickBot="1">
      <c r="A7" s="158"/>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1"/>
    </row>
    <row r="8" spans="1:185">
      <c r="A8" s="158"/>
      <c r="B8" s="599" t="s">
        <v>5</v>
      </c>
      <c r="C8" s="600"/>
      <c r="D8" s="600"/>
      <c r="E8" s="601"/>
      <c r="F8" s="608" t="s">
        <v>0</v>
      </c>
      <c r="G8" s="609"/>
      <c r="H8" s="609"/>
      <c r="I8" s="609"/>
      <c r="J8" s="609"/>
      <c r="K8" s="609"/>
      <c r="L8" s="609"/>
      <c r="M8" s="610"/>
      <c r="N8" s="635" t="str">
        <f>"前年中（"&amp;C4&amp;AW4-1&amp;"年中）の収入に関する情報"</f>
        <v>前年中（令和5年中）の収入に関する情報</v>
      </c>
      <c r="O8" s="612"/>
      <c r="P8" s="612"/>
      <c r="Q8" s="612"/>
      <c r="R8" s="612"/>
      <c r="S8" s="612"/>
      <c r="T8" s="612"/>
      <c r="U8" s="612"/>
      <c r="V8" s="612"/>
      <c r="W8" s="612"/>
      <c r="X8" s="612"/>
      <c r="Y8" s="612"/>
      <c r="Z8" s="612"/>
      <c r="AA8" s="612"/>
      <c r="AB8" s="613"/>
      <c r="AC8" s="615" t="s">
        <v>4</v>
      </c>
      <c r="AD8" s="616"/>
      <c r="AE8" s="616"/>
      <c r="AF8" s="616"/>
      <c r="AG8" s="617"/>
      <c r="AH8" s="169" t="str">
        <f>IF(AND(BB9=1,BP9=1),"※　75歳以上の方は","")</f>
        <v/>
      </c>
      <c r="AI8" s="160"/>
      <c r="AJ8" s="160"/>
      <c r="AK8" s="160"/>
      <c r="AL8" s="160"/>
      <c r="AM8" s="161"/>
      <c r="AU8" s="220" t="s">
        <v>305</v>
      </c>
      <c r="AV8" s="220" t="s">
        <v>306</v>
      </c>
      <c r="AW8" s="331" t="s">
        <v>0</v>
      </c>
      <c r="AX8" s="331"/>
      <c r="AY8" s="331"/>
      <c r="AZ8" s="331" t="s">
        <v>36</v>
      </c>
      <c r="BA8" s="331"/>
      <c r="BB8" s="331" t="s">
        <v>128</v>
      </c>
      <c r="BC8" s="331"/>
      <c r="BD8" s="331" t="s">
        <v>26</v>
      </c>
      <c r="BE8" s="331"/>
      <c r="BF8" s="331"/>
      <c r="BG8" s="331" t="s">
        <v>27</v>
      </c>
      <c r="BH8" s="331"/>
      <c r="BI8" s="331"/>
      <c r="BJ8" s="331" t="s">
        <v>28</v>
      </c>
      <c r="BK8" s="331"/>
      <c r="BL8" s="331"/>
      <c r="BM8" s="492" t="s">
        <v>218</v>
      </c>
      <c r="BN8" s="492"/>
      <c r="BO8" s="492"/>
      <c r="BP8" s="331" t="s">
        <v>29</v>
      </c>
      <c r="BQ8" s="331"/>
      <c r="BR8" s="331" t="s">
        <v>221</v>
      </c>
      <c r="BS8" s="331"/>
    </row>
    <row r="9" spans="1:185">
      <c r="A9" s="158"/>
      <c r="B9" s="602"/>
      <c r="C9" s="603"/>
      <c r="D9" s="603"/>
      <c r="E9" s="604"/>
      <c r="F9" s="614" t="s">
        <v>13</v>
      </c>
      <c r="G9" s="580"/>
      <c r="H9" s="580" t="s">
        <v>14</v>
      </c>
      <c r="I9" s="580"/>
      <c r="J9" s="580" t="s">
        <v>15</v>
      </c>
      <c r="K9" s="580"/>
      <c r="L9" s="580" t="s">
        <v>16</v>
      </c>
      <c r="M9" s="581"/>
      <c r="N9" s="579" t="s">
        <v>1</v>
      </c>
      <c r="O9" s="331"/>
      <c r="P9" s="331"/>
      <c r="Q9" s="331"/>
      <c r="R9" s="331"/>
      <c r="S9" s="331" t="s">
        <v>2</v>
      </c>
      <c r="T9" s="331"/>
      <c r="U9" s="331"/>
      <c r="V9" s="331"/>
      <c r="W9" s="331"/>
      <c r="X9" s="331" t="s">
        <v>3</v>
      </c>
      <c r="Y9" s="331"/>
      <c r="Z9" s="331"/>
      <c r="AA9" s="331"/>
      <c r="AB9" s="582"/>
      <c r="AC9" s="584"/>
      <c r="AD9" s="329"/>
      <c r="AE9" s="329"/>
      <c r="AF9" s="329"/>
      <c r="AG9" s="585"/>
      <c r="AH9" s="169" t="str">
        <f>IF(AND(BB9=1,BP9=1),"　後期高齢者医療保","")</f>
        <v/>
      </c>
      <c r="AI9" s="160"/>
      <c r="AJ9" s="160"/>
      <c r="AK9" s="160"/>
      <c r="AL9" s="160"/>
      <c r="AM9" s="161"/>
      <c r="AU9" s="331">
        <f ca="1">IF($O$4="",IF(ISERROR(DATEVALUE(VLOOKUP(F10,テーブル!$A$2:$B$4,2,FALSE)&amp;H10&amp;"."&amp;J10&amp;"."&amp;L10)),IF(F10="",0,1),IF(DATEVALUE(VLOOKUP(F10,テーブル!$A$2:$B$4,2,FALSE)&amp;H10&amp;"."&amp;J10&amp;"."&amp;L10)&gt;$BK$4,1,0)),1)</f>
        <v>0</v>
      </c>
      <c r="AV9" s="331">
        <f>IF(BP9=0,0,IF(ISERROR(DATEVALUE(VLOOKUP(F10,テーブル!$A$2:$B$4,2,FALSE)&amp;H10&amp;"."&amp;J10&amp;"."&amp;L10)),IF(F10="",0,1),IF(ROUNDDOWN(YEARFRAC(DATEVALUE(VLOOKUP(F10,テーブル!$A$2:$B$4,2,FALSE)&amp;H10&amp;"."&amp;J10&amp;"."&amp;L10),$AZ$4,1),0)&gt;74,1,0)))</f>
        <v>0</v>
      </c>
      <c r="AW9" s="387">
        <f>IF(F10="","",IF(DATEVALUE(VLOOKUP(F10,テーブル!A2:B4,2,FALSE)&amp;H10&amp;"."&amp;J10&amp;"."&amp;L10)&gt;BK4,"",DATEVALUE(VLOOKUP(F10,テーブル!A2:B4,2,FALSE)&amp;H10&amp;"."&amp;J10&amp;"."&amp;L10)))</f>
        <v>21524</v>
      </c>
      <c r="AX9" s="387"/>
      <c r="AY9" s="387"/>
      <c r="AZ9" s="373">
        <f>IF(AW9="","",ROUNDDOWN(YEARFRAC(AW9,$AZ$4,1),0))</f>
        <v>65</v>
      </c>
      <c r="BA9" s="373"/>
      <c r="BB9" s="373">
        <f>IF(AW9="",0,IF(AZ9&gt;74,1,0))</f>
        <v>0</v>
      </c>
      <c r="BC9" s="373"/>
      <c r="BD9" s="348">
        <f>N10</f>
        <v>0</v>
      </c>
      <c r="BE9" s="348"/>
      <c r="BF9" s="348"/>
      <c r="BG9" s="348">
        <f>S10</f>
        <v>2556800</v>
      </c>
      <c r="BH9" s="348"/>
      <c r="BI9" s="348"/>
      <c r="BJ9" s="348">
        <f>X10</f>
        <v>1557841</v>
      </c>
      <c r="BK9" s="348"/>
      <c r="BL9" s="348"/>
      <c r="BM9" s="498">
        <f>IF(ISERROR(所得換算!F111),"",所得換算!F111)</f>
        <v>0</v>
      </c>
      <c r="BN9" s="373"/>
      <c r="BO9" s="373"/>
      <c r="BP9" s="373">
        <f>IF(ISERROR(VLOOKUP(AC10,テーブル!E2:F3,2,FALSE)),"",VLOOKUP(AC10,テーブル!E2:F3,2,FALSE))</f>
        <v>1</v>
      </c>
      <c r="BQ9" s="373"/>
      <c r="BR9" s="373" t="str">
        <f>IF(BP9=1,"",IF(BD9&gt;550000,1,IF(65&gt;AZ9,IF(BG9&gt;600000,1,""),IF(BG9&gt;1250000,1,""))))</f>
        <v/>
      </c>
      <c r="BS9" s="373"/>
    </row>
    <row r="10" spans="1:185">
      <c r="A10" s="374" t="str">
        <f ca="1">IF(AU9+AV9&gt;0,"×","")</f>
        <v/>
      </c>
      <c r="B10" s="602"/>
      <c r="C10" s="603"/>
      <c r="D10" s="603"/>
      <c r="E10" s="604"/>
      <c r="F10" s="618" t="s">
        <v>17</v>
      </c>
      <c r="G10" s="619"/>
      <c r="H10" s="620">
        <v>33</v>
      </c>
      <c r="I10" s="620"/>
      <c r="J10" s="620">
        <v>12</v>
      </c>
      <c r="K10" s="620"/>
      <c r="L10" s="620">
        <v>5</v>
      </c>
      <c r="M10" s="621"/>
      <c r="N10" s="622"/>
      <c r="O10" s="623"/>
      <c r="P10" s="623"/>
      <c r="Q10" s="623"/>
      <c r="R10" s="623"/>
      <c r="S10" s="575">
        <v>2556800</v>
      </c>
      <c r="T10" s="575"/>
      <c r="U10" s="575"/>
      <c r="V10" s="575"/>
      <c r="W10" s="575"/>
      <c r="X10" s="575">
        <v>1557841</v>
      </c>
      <c r="Y10" s="575"/>
      <c r="Z10" s="575"/>
      <c r="AA10" s="575"/>
      <c r="AB10" s="576"/>
      <c r="AC10" s="593" t="s">
        <v>19</v>
      </c>
      <c r="AD10" s="594"/>
      <c r="AE10" s="594"/>
      <c r="AF10" s="594"/>
      <c r="AG10" s="595"/>
      <c r="AH10" s="169" t="str">
        <f>IF(AND(BB9=1,BP9=1),"　険への加入になり","")</f>
        <v/>
      </c>
      <c r="AI10" s="160"/>
      <c r="AJ10" s="160"/>
      <c r="AK10" s="160"/>
      <c r="AL10" s="160"/>
      <c r="AM10" s="161"/>
      <c r="AU10" s="331"/>
      <c r="AV10" s="331"/>
      <c r="AW10" s="387"/>
      <c r="AX10" s="387"/>
      <c r="AY10" s="387"/>
      <c r="AZ10" s="373"/>
      <c r="BA10" s="373"/>
      <c r="BB10" s="373"/>
      <c r="BC10" s="373"/>
      <c r="BD10" s="348"/>
      <c r="BE10" s="348"/>
      <c r="BF10" s="348"/>
      <c r="BG10" s="348"/>
      <c r="BH10" s="348"/>
      <c r="BI10" s="348"/>
      <c r="BJ10" s="348"/>
      <c r="BK10" s="348"/>
      <c r="BL10" s="348"/>
      <c r="BM10" s="373"/>
      <c r="BN10" s="373"/>
      <c r="BO10" s="373"/>
      <c r="BP10" s="373"/>
      <c r="BQ10" s="373"/>
      <c r="BR10" s="373"/>
      <c r="BS10" s="373"/>
    </row>
    <row r="11" spans="1:185" ht="24.75" thickBot="1">
      <c r="A11" s="374"/>
      <c r="B11" s="605"/>
      <c r="C11" s="606"/>
      <c r="D11" s="606"/>
      <c r="E11" s="607"/>
      <c r="F11" s="564"/>
      <c r="G11" s="565"/>
      <c r="H11" s="566"/>
      <c r="I11" s="566"/>
      <c r="J11" s="566"/>
      <c r="K11" s="566"/>
      <c r="L11" s="566"/>
      <c r="M11" s="567"/>
      <c r="N11" s="624"/>
      <c r="O11" s="625"/>
      <c r="P11" s="625"/>
      <c r="Q11" s="625"/>
      <c r="R11" s="625"/>
      <c r="S11" s="577"/>
      <c r="T11" s="577"/>
      <c r="U11" s="577"/>
      <c r="V11" s="577"/>
      <c r="W11" s="577"/>
      <c r="X11" s="577"/>
      <c r="Y11" s="577"/>
      <c r="Z11" s="577"/>
      <c r="AA11" s="577"/>
      <c r="AB11" s="578"/>
      <c r="AC11" s="596"/>
      <c r="AD11" s="597"/>
      <c r="AE11" s="597"/>
      <c r="AF11" s="597"/>
      <c r="AG11" s="598"/>
      <c r="AH11" s="169" t="str">
        <f>IF(AND(BB9=1,BP9=1),"　ます。","")</f>
        <v/>
      </c>
      <c r="AI11" s="160"/>
      <c r="AJ11" s="160"/>
      <c r="AK11" s="160"/>
      <c r="AL11" s="160"/>
      <c r="AM11" s="161"/>
      <c r="AZ11" s="143"/>
      <c r="BA11" s="143"/>
    </row>
    <row r="12" spans="1:185">
      <c r="A12" s="158"/>
      <c r="B12" s="160"/>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1"/>
      <c r="AW12" s="331" t="s">
        <v>223</v>
      </c>
      <c r="AX12" s="331"/>
      <c r="AY12" s="331"/>
      <c r="AZ12" s="331"/>
      <c r="BA12" s="331"/>
      <c r="BB12" s="331"/>
      <c r="BC12" s="331"/>
      <c r="BD12" s="331"/>
      <c r="BE12" s="331"/>
      <c r="BF12" s="331" t="s">
        <v>201</v>
      </c>
      <c r="BG12" s="331"/>
      <c r="BH12" s="331"/>
      <c r="BI12" s="331"/>
      <c r="BJ12" s="331"/>
      <c r="BK12" s="331"/>
      <c r="BL12" s="331"/>
      <c r="BM12" s="331"/>
      <c r="BN12" s="331"/>
      <c r="BO12" s="331" t="s">
        <v>202</v>
      </c>
      <c r="BP12" s="331"/>
      <c r="BQ12" s="331"/>
      <c r="BR12" s="331"/>
      <c r="BS12" s="331"/>
      <c r="BT12" s="331"/>
      <c r="BU12" s="331"/>
      <c r="BV12" s="331"/>
      <c r="BW12" s="331"/>
      <c r="BX12" s="331" t="s">
        <v>224</v>
      </c>
      <c r="BY12" s="331"/>
      <c r="BZ12" s="331"/>
      <c r="CA12" s="331" t="s">
        <v>238</v>
      </c>
      <c r="CB12" s="331"/>
      <c r="CC12" s="331" t="s">
        <v>236</v>
      </c>
      <c r="CD12" s="331"/>
      <c r="CE12" s="331"/>
      <c r="CF12" s="331" t="s">
        <v>247</v>
      </c>
      <c r="CG12" s="331"/>
      <c r="CH12" s="331"/>
      <c r="CI12" s="331" t="s">
        <v>249</v>
      </c>
      <c r="CJ12" s="331"/>
      <c r="CK12" s="331"/>
      <c r="CL12" s="331"/>
      <c r="CM12" s="331"/>
      <c r="CN12" s="331"/>
      <c r="CO12" s="331"/>
      <c r="CP12" s="331"/>
      <c r="CQ12" s="331"/>
    </row>
    <row r="13" spans="1:185">
      <c r="A13" s="158"/>
      <c r="B13" s="160" t="s">
        <v>257</v>
      </c>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1"/>
      <c r="AW13" s="331" t="s">
        <v>198</v>
      </c>
      <c r="AX13" s="331"/>
      <c r="AY13" s="331"/>
      <c r="AZ13" s="331" t="s">
        <v>199</v>
      </c>
      <c r="BA13" s="331"/>
      <c r="BB13" s="331"/>
      <c r="BC13" s="331" t="s">
        <v>200</v>
      </c>
      <c r="BD13" s="331"/>
      <c r="BE13" s="331"/>
      <c r="BF13" s="331" t="s">
        <v>198</v>
      </c>
      <c r="BG13" s="331"/>
      <c r="BH13" s="331"/>
      <c r="BI13" s="331" t="s">
        <v>199</v>
      </c>
      <c r="BJ13" s="331"/>
      <c r="BK13" s="331"/>
      <c r="BL13" s="331" t="s">
        <v>200</v>
      </c>
      <c r="BM13" s="331"/>
      <c r="BN13" s="331"/>
      <c r="BO13" s="331" t="s">
        <v>198</v>
      </c>
      <c r="BP13" s="331"/>
      <c r="BQ13" s="331"/>
      <c r="BR13" s="331" t="s">
        <v>199</v>
      </c>
      <c r="BS13" s="331"/>
      <c r="BT13" s="331"/>
      <c r="BU13" s="331" t="s">
        <v>200</v>
      </c>
      <c r="BV13" s="331"/>
      <c r="BW13" s="331"/>
      <c r="BX13" s="331"/>
      <c r="BY13" s="331"/>
      <c r="BZ13" s="331"/>
      <c r="CA13" s="331"/>
      <c r="CB13" s="331"/>
      <c r="CC13" s="331"/>
      <c r="CD13" s="331"/>
      <c r="CE13" s="331"/>
      <c r="CF13" s="331"/>
      <c r="CG13" s="331"/>
      <c r="CH13" s="331"/>
      <c r="CI13" s="331" t="s">
        <v>198</v>
      </c>
      <c r="CJ13" s="331"/>
      <c r="CK13" s="331"/>
      <c r="CL13" s="331" t="s">
        <v>199</v>
      </c>
      <c r="CM13" s="331"/>
      <c r="CN13" s="331"/>
      <c r="CO13" s="331" t="s">
        <v>200</v>
      </c>
      <c r="CP13" s="331"/>
      <c r="CQ13" s="331"/>
    </row>
    <row r="14" spans="1:185" ht="12" customHeight="1" thickBot="1">
      <c r="A14" s="158"/>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1"/>
      <c r="AW14" s="373">
        <f>VLOOKUP($AW$4,案分率等!$A:$T,案分率等!B1,FALSE)</f>
        <v>7.9</v>
      </c>
      <c r="AX14" s="373"/>
      <c r="AY14" s="373"/>
      <c r="AZ14" s="373">
        <f>VLOOKUP($AW$4,案分率等!$A:$T,案分率等!I1,FALSE)</f>
        <v>2.7</v>
      </c>
      <c r="BA14" s="373"/>
      <c r="BB14" s="373"/>
      <c r="BC14" s="373">
        <f>VLOOKUP($AW$4,案分率等!$A:$T,案分率等!P1,FALSE)</f>
        <v>2.5</v>
      </c>
      <c r="BD14" s="373"/>
      <c r="BE14" s="373"/>
      <c r="BF14" s="348">
        <f>VLOOKUP($AW$4,案分率等!$A:$T,案分率等!D1,FALSE)</f>
        <v>22700</v>
      </c>
      <c r="BG14" s="348"/>
      <c r="BH14" s="348"/>
      <c r="BI14" s="348">
        <f>VLOOKUP($AW$4,案分率等!$A:$T,案分率等!K1,FALSE)</f>
        <v>8300</v>
      </c>
      <c r="BJ14" s="348"/>
      <c r="BK14" s="348"/>
      <c r="BL14" s="348">
        <f>VLOOKUP($AW$4,案分率等!$A:$T,案分率等!R1,FALSE)</f>
        <v>7200</v>
      </c>
      <c r="BM14" s="348"/>
      <c r="BN14" s="348"/>
      <c r="BO14" s="348">
        <f>VLOOKUP($AW$4,案分率等!$A:$T,案分率等!E1,FALSE)</f>
        <v>21400</v>
      </c>
      <c r="BP14" s="348"/>
      <c r="BQ14" s="348"/>
      <c r="BR14" s="348">
        <f>VLOOKUP($AW$4,案分率等!$A:$T,案分率等!L1,FALSE)</f>
        <v>6000</v>
      </c>
      <c r="BS14" s="348"/>
      <c r="BT14" s="348"/>
      <c r="BU14" s="348">
        <f>VLOOKUP($AW$4,案分率等!$A:$T,案分率等!S1,FALSE)</f>
        <v>6200</v>
      </c>
      <c r="BV14" s="348"/>
      <c r="BW14" s="348"/>
      <c r="BX14" s="348">
        <f>VLOOKUP($AW$4,案分率等!$A:$X,案分率等!X1,FALSE)</f>
        <v>430000</v>
      </c>
      <c r="BY14" s="348"/>
      <c r="BZ14" s="348"/>
      <c r="CA14" s="373">
        <f ca="1">軽減計算!V6</f>
        <v>0.3</v>
      </c>
      <c r="CB14" s="373"/>
      <c r="CC14" s="348">
        <f ca="1">SUM(FL25:FT25)</f>
        <v>40700</v>
      </c>
      <c r="CD14" s="348"/>
      <c r="CE14" s="348"/>
      <c r="CF14" s="479">
        <f ca="1">SUM(FU25:GC25)</f>
        <v>20300</v>
      </c>
      <c r="CG14" s="390"/>
      <c r="CH14" s="390"/>
      <c r="CI14" s="415">
        <f>VLOOKUP($AW$4,案分率等!$A:$T,案分率等!G1,FALSE)</f>
        <v>650000</v>
      </c>
      <c r="CJ14" s="415"/>
      <c r="CK14" s="415"/>
      <c r="CL14" s="415">
        <f>VLOOKUP($AW$4,案分率等!$A:$T,案分率等!N1,FALSE)</f>
        <v>240000</v>
      </c>
      <c r="CM14" s="415"/>
      <c r="CN14" s="415"/>
      <c r="CO14" s="415">
        <f>VLOOKUP($AW$4,案分率等!$A:$T,案分率等!T1,FALSE)</f>
        <v>170000</v>
      </c>
      <c r="CP14" s="415"/>
      <c r="CQ14" s="415"/>
    </row>
    <row r="15" spans="1:185" ht="24" customHeight="1" thickTop="1">
      <c r="A15" s="158"/>
      <c r="B15" s="589" t="s">
        <v>18</v>
      </c>
      <c r="C15" s="590"/>
      <c r="D15" s="590"/>
      <c r="E15" s="590"/>
      <c r="F15" s="608" t="s">
        <v>0</v>
      </c>
      <c r="G15" s="609"/>
      <c r="H15" s="609"/>
      <c r="I15" s="609"/>
      <c r="J15" s="609"/>
      <c r="K15" s="609"/>
      <c r="L15" s="609"/>
      <c r="M15" s="610"/>
      <c r="N15" s="611" t="str">
        <f>"前年中（"&amp;C4&amp;AW4-1&amp;"年中）の収入に関する情報"</f>
        <v>前年中（令和5年中）の収入に関する情報</v>
      </c>
      <c r="O15" s="612"/>
      <c r="P15" s="612"/>
      <c r="Q15" s="612"/>
      <c r="R15" s="612"/>
      <c r="S15" s="612"/>
      <c r="T15" s="612"/>
      <c r="U15" s="612"/>
      <c r="V15" s="612"/>
      <c r="W15" s="612"/>
      <c r="X15" s="612"/>
      <c r="Y15" s="612"/>
      <c r="Z15" s="612"/>
      <c r="AA15" s="612"/>
      <c r="AB15" s="613"/>
      <c r="AC15" s="538" t="s">
        <v>205</v>
      </c>
      <c r="AD15" s="539"/>
      <c r="AE15" s="539"/>
      <c r="AF15" s="539"/>
      <c r="AG15" s="539"/>
      <c r="AH15" s="626" t="s">
        <v>204</v>
      </c>
      <c r="AI15" s="627"/>
      <c r="AJ15" s="627"/>
      <c r="AK15" s="627"/>
      <c r="AL15" s="628"/>
      <c r="AM15" s="161"/>
      <c r="AW15" s="419"/>
      <c r="AX15" s="419"/>
      <c r="AY15" s="419"/>
      <c r="AZ15" s="419"/>
      <c r="BA15" s="419"/>
      <c r="BB15" s="419"/>
      <c r="BC15" s="419"/>
      <c r="BD15" s="419"/>
      <c r="BE15" s="419"/>
      <c r="BF15" s="347"/>
      <c r="BG15" s="347"/>
      <c r="BH15" s="347"/>
      <c r="BI15" s="347"/>
      <c r="BJ15" s="347"/>
      <c r="BK15" s="347"/>
      <c r="BL15" s="347"/>
      <c r="BM15" s="347"/>
      <c r="BN15" s="347"/>
      <c r="BO15" s="347"/>
      <c r="BP15" s="347"/>
      <c r="BQ15" s="347"/>
      <c r="BR15" s="347"/>
      <c r="BS15" s="347"/>
      <c r="BT15" s="347"/>
      <c r="BU15" s="347"/>
      <c r="BV15" s="347"/>
      <c r="BW15" s="347"/>
      <c r="BX15" s="347"/>
      <c r="BY15" s="347"/>
      <c r="BZ15" s="347"/>
      <c r="CA15" s="419"/>
      <c r="CB15" s="419"/>
      <c r="CC15" s="347"/>
      <c r="CD15" s="347"/>
      <c r="CE15" s="347"/>
      <c r="CF15" s="345"/>
      <c r="CG15" s="345"/>
      <c r="CH15" s="345"/>
      <c r="CI15" s="416"/>
      <c r="CJ15" s="416"/>
      <c r="CK15" s="416"/>
      <c r="CL15" s="416"/>
      <c r="CM15" s="416"/>
      <c r="CN15" s="416"/>
      <c r="CO15" s="416"/>
      <c r="CP15" s="416"/>
      <c r="CQ15" s="416"/>
      <c r="DA15" s="430" t="s">
        <v>260</v>
      </c>
      <c r="DB15" s="431"/>
      <c r="DC15" s="431"/>
      <c r="DD15" s="431"/>
      <c r="DE15" s="431"/>
      <c r="DF15" s="431"/>
      <c r="DG15" s="431"/>
      <c r="DH15" s="431"/>
      <c r="DI15" s="431"/>
      <c r="DJ15" s="431"/>
      <c r="DK15" s="431"/>
      <c r="DL15" s="431"/>
      <c r="DM15" s="431"/>
      <c r="DN15" s="431"/>
      <c r="DO15" s="431"/>
      <c r="DP15" s="431"/>
      <c r="DQ15" s="431"/>
      <c r="DR15" s="431"/>
      <c r="DS15" s="431"/>
      <c r="DT15" s="431"/>
      <c r="DU15" s="431"/>
      <c r="DV15" s="431"/>
      <c r="DW15" s="431"/>
      <c r="DX15" s="431"/>
      <c r="DY15" s="431"/>
      <c r="DZ15" s="431"/>
      <c r="EA15" s="431"/>
      <c r="EB15" s="431"/>
      <c r="EC15" s="431"/>
      <c r="ED15" s="431"/>
      <c r="EE15" s="431"/>
      <c r="EF15" s="431"/>
      <c r="EG15" s="431"/>
      <c r="EH15" s="431"/>
      <c r="EI15" s="431"/>
      <c r="EJ15" s="432"/>
      <c r="EK15" s="430" t="s">
        <v>239</v>
      </c>
      <c r="EL15" s="431"/>
      <c r="EM15" s="431"/>
      <c r="EN15" s="431"/>
      <c r="EO15" s="431"/>
      <c r="EP15" s="431"/>
      <c r="EQ15" s="431"/>
      <c r="ER15" s="431"/>
      <c r="ES15" s="431"/>
      <c r="ET15" s="431"/>
      <c r="EU15" s="431"/>
      <c r="EV15" s="431"/>
      <c r="EW15" s="431"/>
      <c r="EX15" s="431"/>
      <c r="EY15" s="431"/>
      <c r="EZ15" s="431"/>
      <c r="FA15" s="431"/>
      <c r="FB15" s="431"/>
      <c r="FC15" s="431"/>
      <c r="FD15" s="431"/>
      <c r="FE15" s="431"/>
      <c r="FF15" s="431"/>
      <c r="FG15" s="431"/>
      <c r="FH15" s="431"/>
      <c r="FI15" s="431"/>
      <c r="FJ15" s="431"/>
      <c r="FK15" s="431"/>
      <c r="FL15" s="431"/>
      <c r="FM15" s="431"/>
      <c r="FN15" s="431"/>
      <c r="FO15" s="431"/>
      <c r="FP15" s="431"/>
      <c r="FQ15" s="431"/>
      <c r="FR15" s="431"/>
      <c r="FS15" s="431"/>
      <c r="FT15" s="432"/>
      <c r="FU15" s="430" t="s">
        <v>246</v>
      </c>
      <c r="FV15" s="431"/>
      <c r="FW15" s="431"/>
      <c r="FX15" s="431"/>
      <c r="FY15" s="431"/>
      <c r="FZ15" s="431"/>
      <c r="GA15" s="431"/>
      <c r="GB15" s="431"/>
      <c r="GC15" s="432"/>
    </row>
    <row r="16" spans="1:185">
      <c r="A16" s="158"/>
      <c r="B16" s="591"/>
      <c r="C16" s="592"/>
      <c r="D16" s="592"/>
      <c r="E16" s="592"/>
      <c r="F16" s="614" t="s">
        <v>13</v>
      </c>
      <c r="G16" s="580"/>
      <c r="H16" s="580" t="s">
        <v>14</v>
      </c>
      <c r="I16" s="580"/>
      <c r="J16" s="580" t="s">
        <v>15</v>
      </c>
      <c r="K16" s="580"/>
      <c r="L16" s="580" t="s">
        <v>16</v>
      </c>
      <c r="M16" s="581"/>
      <c r="N16" s="330" t="s">
        <v>1</v>
      </c>
      <c r="O16" s="331"/>
      <c r="P16" s="331"/>
      <c r="Q16" s="331"/>
      <c r="R16" s="328"/>
      <c r="S16" s="331" t="s">
        <v>2</v>
      </c>
      <c r="T16" s="331"/>
      <c r="U16" s="331"/>
      <c r="V16" s="331"/>
      <c r="W16" s="331"/>
      <c r="X16" s="330" t="s">
        <v>3</v>
      </c>
      <c r="Y16" s="331"/>
      <c r="Z16" s="331"/>
      <c r="AA16" s="331"/>
      <c r="AB16" s="582"/>
      <c r="AC16" s="540"/>
      <c r="AD16" s="541"/>
      <c r="AE16" s="541"/>
      <c r="AF16" s="541"/>
      <c r="AG16" s="541"/>
      <c r="AH16" s="629"/>
      <c r="AI16" s="630"/>
      <c r="AJ16" s="630"/>
      <c r="AK16" s="630"/>
      <c r="AL16" s="631"/>
      <c r="AM16" s="161"/>
      <c r="AU16" s="220" t="s">
        <v>305</v>
      </c>
      <c r="AV16" s="220" t="s">
        <v>306</v>
      </c>
      <c r="AW16" s="331" t="s">
        <v>0</v>
      </c>
      <c r="AX16" s="331"/>
      <c r="AY16" s="331"/>
      <c r="AZ16" s="331" t="s">
        <v>36</v>
      </c>
      <c r="BA16" s="331"/>
      <c r="BB16" s="331" t="s">
        <v>156</v>
      </c>
      <c r="BC16" s="331"/>
      <c r="BD16" s="331">
        <v>65</v>
      </c>
      <c r="BE16" s="331"/>
      <c r="BF16" s="331"/>
      <c r="BG16" s="331"/>
      <c r="BH16" s="331">
        <v>40</v>
      </c>
      <c r="BI16" s="331"/>
      <c r="BJ16" s="331"/>
      <c r="BK16" s="331"/>
      <c r="BL16" s="331" t="s">
        <v>311</v>
      </c>
      <c r="BM16" s="331"/>
      <c r="BN16" s="331"/>
      <c r="BO16" s="331"/>
      <c r="BP16" s="328" t="s">
        <v>255</v>
      </c>
      <c r="BQ16" s="329"/>
      <c r="BR16" s="330"/>
      <c r="BS16" s="328" t="s">
        <v>256</v>
      </c>
      <c r="BT16" s="329"/>
      <c r="BU16" s="330"/>
      <c r="BV16" s="331" t="s">
        <v>250</v>
      </c>
      <c r="BW16" s="331"/>
      <c r="BX16" s="331"/>
      <c r="BY16" s="328" t="s">
        <v>254</v>
      </c>
      <c r="BZ16" s="329"/>
      <c r="CA16" s="330"/>
      <c r="CB16" s="331" t="s">
        <v>26</v>
      </c>
      <c r="CC16" s="331"/>
      <c r="CD16" s="331"/>
      <c r="CE16" s="331" t="s">
        <v>27</v>
      </c>
      <c r="CF16" s="331"/>
      <c r="CG16" s="331"/>
      <c r="CH16" s="331" t="s">
        <v>28</v>
      </c>
      <c r="CI16" s="331"/>
      <c r="CJ16" s="331"/>
      <c r="CK16" s="331" t="s">
        <v>157</v>
      </c>
      <c r="CL16" s="331"/>
      <c r="CM16" s="331" t="s">
        <v>159</v>
      </c>
      <c r="CN16" s="331"/>
      <c r="CO16" s="331" t="s">
        <v>206</v>
      </c>
      <c r="CP16" s="331"/>
      <c r="CQ16" s="331" t="s">
        <v>207</v>
      </c>
      <c r="CR16" s="331"/>
      <c r="CS16" s="331" t="s">
        <v>220</v>
      </c>
      <c r="CT16" s="331"/>
      <c r="CU16" s="331" t="s">
        <v>217</v>
      </c>
      <c r="CV16" s="331"/>
      <c r="CW16" s="331"/>
      <c r="CX16" s="492" t="s">
        <v>218</v>
      </c>
      <c r="CY16" s="492"/>
      <c r="CZ16" s="493"/>
      <c r="DA16" s="423" t="s">
        <v>225</v>
      </c>
      <c r="DB16" s="424"/>
      <c r="DC16" s="424"/>
      <c r="DD16" s="425" t="s">
        <v>226</v>
      </c>
      <c r="DE16" s="425"/>
      <c r="DF16" s="425"/>
      <c r="DG16" s="426" t="s">
        <v>227</v>
      </c>
      <c r="DH16" s="426"/>
      <c r="DI16" s="462"/>
      <c r="DJ16" s="463" t="s">
        <v>228</v>
      </c>
      <c r="DK16" s="424"/>
      <c r="DL16" s="424"/>
      <c r="DM16" s="425" t="s">
        <v>229</v>
      </c>
      <c r="DN16" s="425"/>
      <c r="DO16" s="425"/>
      <c r="DP16" s="426" t="s">
        <v>230</v>
      </c>
      <c r="DQ16" s="426"/>
      <c r="DR16" s="462"/>
      <c r="DS16" s="463" t="s">
        <v>240</v>
      </c>
      <c r="DT16" s="424"/>
      <c r="DU16" s="424"/>
      <c r="DV16" s="425" t="s">
        <v>241</v>
      </c>
      <c r="DW16" s="425"/>
      <c r="DX16" s="425"/>
      <c r="DY16" s="426" t="s">
        <v>242</v>
      </c>
      <c r="DZ16" s="426"/>
      <c r="EA16" s="462"/>
      <c r="EB16" s="455" t="s">
        <v>231</v>
      </c>
      <c r="EC16" s="424"/>
      <c r="ED16" s="424"/>
      <c r="EE16" s="425" t="s">
        <v>232</v>
      </c>
      <c r="EF16" s="425"/>
      <c r="EG16" s="425"/>
      <c r="EH16" s="426" t="s">
        <v>233</v>
      </c>
      <c r="EI16" s="426"/>
      <c r="EJ16" s="427"/>
      <c r="EK16" s="423" t="s">
        <v>225</v>
      </c>
      <c r="EL16" s="424"/>
      <c r="EM16" s="424"/>
      <c r="EN16" s="425" t="s">
        <v>226</v>
      </c>
      <c r="EO16" s="425"/>
      <c r="EP16" s="425"/>
      <c r="EQ16" s="426" t="s">
        <v>227</v>
      </c>
      <c r="ER16" s="426"/>
      <c r="ES16" s="462"/>
      <c r="ET16" s="463" t="s">
        <v>228</v>
      </c>
      <c r="EU16" s="424"/>
      <c r="EV16" s="424"/>
      <c r="EW16" s="425" t="s">
        <v>229</v>
      </c>
      <c r="EX16" s="425"/>
      <c r="EY16" s="425"/>
      <c r="EZ16" s="426" t="s">
        <v>230</v>
      </c>
      <c r="FA16" s="426"/>
      <c r="FB16" s="462"/>
      <c r="FC16" s="455" t="s">
        <v>240</v>
      </c>
      <c r="FD16" s="424"/>
      <c r="FE16" s="424"/>
      <c r="FF16" s="425" t="s">
        <v>241</v>
      </c>
      <c r="FG16" s="425"/>
      <c r="FH16" s="425"/>
      <c r="FI16" s="426" t="s">
        <v>242</v>
      </c>
      <c r="FJ16" s="426"/>
      <c r="FK16" s="462"/>
      <c r="FL16" s="455" t="s">
        <v>231</v>
      </c>
      <c r="FM16" s="424"/>
      <c r="FN16" s="424"/>
      <c r="FO16" s="425" t="s">
        <v>232</v>
      </c>
      <c r="FP16" s="425"/>
      <c r="FQ16" s="425"/>
      <c r="FR16" s="426" t="s">
        <v>233</v>
      </c>
      <c r="FS16" s="426"/>
      <c r="FT16" s="427"/>
      <c r="FU16" s="423" t="s">
        <v>243</v>
      </c>
      <c r="FV16" s="424"/>
      <c r="FW16" s="424"/>
      <c r="FX16" s="425" t="s">
        <v>244</v>
      </c>
      <c r="FY16" s="425"/>
      <c r="FZ16" s="425"/>
      <c r="GA16" s="426" t="s">
        <v>245</v>
      </c>
      <c r="GB16" s="426"/>
      <c r="GC16" s="427"/>
    </row>
    <row r="17" spans="1:185" ht="36" customHeight="1">
      <c r="A17" s="227"/>
      <c r="B17" s="584" t="s">
        <v>5</v>
      </c>
      <c r="C17" s="329"/>
      <c r="D17" s="329"/>
      <c r="E17" s="585"/>
      <c r="F17" s="571" t="str">
        <f>IF(BP9=1,IF(BB9=0,F10,""),"")</f>
        <v>昭和</v>
      </c>
      <c r="G17" s="572"/>
      <c r="H17" s="572">
        <f>IF(F17="","",H10)</f>
        <v>33</v>
      </c>
      <c r="I17" s="572"/>
      <c r="J17" s="572">
        <f t="shared" ref="J17" si="0">IF($F$17="","",J10)</f>
        <v>12</v>
      </c>
      <c r="K17" s="572"/>
      <c r="L17" s="572">
        <f t="shared" ref="L17" si="1">IF($F$17="","",L10)</f>
        <v>5</v>
      </c>
      <c r="M17" s="573"/>
      <c r="N17" s="574" t="str">
        <f>IF(F17="","",IF(N10="","",N10))</f>
        <v/>
      </c>
      <c r="O17" s="574"/>
      <c r="P17" s="574"/>
      <c r="Q17" s="574"/>
      <c r="R17" s="574"/>
      <c r="S17" s="504">
        <f>IF(F17="","",IF(S10="","",S10))</f>
        <v>2556800</v>
      </c>
      <c r="T17" s="505"/>
      <c r="U17" s="505"/>
      <c r="V17" s="505"/>
      <c r="W17" s="506"/>
      <c r="X17" s="505">
        <f>IF(F17="","",IF(X10="","",X10))</f>
        <v>1557841</v>
      </c>
      <c r="Y17" s="505"/>
      <c r="Z17" s="505"/>
      <c r="AA17" s="505"/>
      <c r="AB17" s="507"/>
      <c r="AC17" s="383"/>
      <c r="AD17" s="384"/>
      <c r="AE17" s="384"/>
      <c r="AF17" s="384"/>
      <c r="AG17" s="384"/>
      <c r="AH17" s="512"/>
      <c r="AI17" s="513"/>
      <c r="AJ17" s="513"/>
      <c r="AK17" s="513"/>
      <c r="AL17" s="514"/>
      <c r="AM17" s="161"/>
      <c r="AU17" s="230">
        <f ca="1">IF($O$4="",IF(ISERROR(DATEVALUE(VLOOKUP(F17,テーブル!$A$2:$B$4,2,FALSE)&amp;H17&amp;"."&amp;J17&amp;"."&amp;L17)),IF(F17="",0,1),IF(DATEVALUE(VLOOKUP(F17,テーブル!$A$2:$B$4,2,FALSE)&amp;H17&amp;"."&amp;J17&amp;"."&amp;L17)&gt;$BK$4,1,0)),1)</f>
        <v>0</v>
      </c>
      <c r="AV17" s="230">
        <f>IF(ISERROR(DATEVALUE(VLOOKUP(F17,テーブル!$A$2:$B$4,2,FALSE)&amp;H17&amp;"."&amp;J17&amp;"."&amp;L17)),IF(F17="",0,1),IF(ROUNDDOWN(YEARFRAC(DATEVALUE(VLOOKUP(F17,テーブル!$A$2:$B$4,2,FALSE)&amp;H17&amp;"."&amp;J17&amp;"."&amp;L17),$AZ$4,1),0)&gt;74,1,0))</f>
        <v>0</v>
      </c>
      <c r="AW17" s="387">
        <f ca="1">IF(OR(AU17=1,AV17=1),"",IF(ISERROR(DATEVALUE(VLOOKUP(F17,テーブル!$A$2:$B$4,2,FALSE)&amp;H17&amp;"."&amp;J17&amp;"."&amp;L17)),"",IF(DATEVALUE(VLOOKUP(F17,テーブル!$A$2:$B$4,2,FALSE)&amp;H17&amp;"."&amp;J17&amp;"."&amp;L17)&gt;$BK$4,"",DATEVALUE(VLOOKUP(F17,テーブル!$A$2:$B$4,2,FALSE)&amp;H17&amp;"."&amp;J17&amp;"."&amp;L17))))</f>
        <v>21524</v>
      </c>
      <c r="AX17" s="387"/>
      <c r="AY17" s="387"/>
      <c r="AZ17" s="373">
        <f ca="1">IF(AW17="","",ROUNDDOWN(YEARFRAC(AW17,$AZ$4,1),0))</f>
        <v>65</v>
      </c>
      <c r="BA17" s="373"/>
      <c r="BB17" s="373">
        <f ca="1">IF(AW17="","",VLOOKUP(AZ17,テーブル!C:D,2,FALSE))</f>
        <v>1</v>
      </c>
      <c r="BC17" s="373"/>
      <c r="BD17" s="387" t="str">
        <f ca="1">IF(AZ17=64,DATE(YEAR(AW17)+65,MONTH(AW17),DAY(AW17)),"")</f>
        <v/>
      </c>
      <c r="BE17" s="387"/>
      <c r="BF17" s="390" t="str">
        <f ca="1">IF(BD17&gt;$AZ$4,IF($BK$4&gt;BD17,1,""),"")</f>
        <v/>
      </c>
      <c r="BG17" s="390"/>
      <c r="BH17" s="387" t="str">
        <f ca="1">IF(AZ17=39,DATE(YEAR(AW17)+40,MONTH(AW17),DAY(AW17)),"")</f>
        <v/>
      </c>
      <c r="BI17" s="387"/>
      <c r="BJ17" s="390" t="str">
        <f ca="1">IF(BH17&gt;$AZ$4,IF($BK$4&gt;BH17,1,""),"")</f>
        <v/>
      </c>
      <c r="BK17" s="390"/>
      <c r="BL17" s="636" t="str">
        <f ca="1">IF(AZ17=74,DATE(YEAR(AW17)+75,MONTH(AW17),DAY(AW17)),IF(AND(AZ17=0,AW17&gt;$AZ$4),AW17,""))</f>
        <v/>
      </c>
      <c r="BM17" s="637"/>
      <c r="BN17" s="390" t="str">
        <f ca="1">IF(BL17&gt;$AZ$4,IF($BK$4&gt;BL17,IF(AZ17=0,2,1),""),"")</f>
        <v/>
      </c>
      <c r="BO17" s="390"/>
      <c r="BP17" s="525" t="str">
        <f ca="1">IF(BB17=2,$AZ$4,IF(BJ17=1,BH17,""))</f>
        <v/>
      </c>
      <c r="BQ17" s="526"/>
      <c r="BR17" s="527"/>
      <c r="BS17" s="525" t="str">
        <f ca="1">IF(BB17=2,IF(BF17=1,BD17,$BK$4),IF(BJ17=1,$BK$4,""))</f>
        <v/>
      </c>
      <c r="BT17" s="526"/>
      <c r="BU17" s="527"/>
      <c r="BV17" s="390">
        <f ca="1">IF(BF17=1,ROUNDDOWN(ROUNDDOWN(BD17-$AZ$4,0)/30+1,0),IF(BJ17=1,12-ROUNDDOWN(ROUNDDOWN(BH17-$BN$4,0)/30,0)+1,IF(BB17=2,$BQ$4,0)))</f>
        <v>0</v>
      </c>
      <c r="BW17" s="390"/>
      <c r="BX17" s="390"/>
      <c r="BY17" s="522">
        <f ca="1">IF(AW17="",0,IF(BN17=1,ROUNDDOWN(ROUNDDOWN(BL17-$AZ$4,0)/30+1,0),IF(BN17=2,ROUNDDOWN(ROUNDDOWN($BK$4-BL17,0)/30+1,0),$BQ$4)))</f>
        <v>6</v>
      </c>
      <c r="BZ17" s="523"/>
      <c r="CA17" s="524"/>
      <c r="CB17" s="348">
        <f>IF(N17="",0,N17)</f>
        <v>0</v>
      </c>
      <c r="CC17" s="348"/>
      <c r="CD17" s="348"/>
      <c r="CE17" s="348">
        <f>IF(S17="",0,S17)</f>
        <v>2556800</v>
      </c>
      <c r="CF17" s="348"/>
      <c r="CG17" s="348"/>
      <c r="CH17" s="348">
        <f>IF(X17="",0,X17)</f>
        <v>1557841</v>
      </c>
      <c r="CI17" s="348"/>
      <c r="CJ17" s="348"/>
      <c r="CK17" s="373"/>
      <c r="CL17" s="373"/>
      <c r="CM17" s="373" t="str">
        <f ca="1">IF(AW17="","",IF(ISERROR(VLOOKUP(AC17,テーブル!G:H,2,FALSE)),"",VLOOKUP(AC17,テーブル!G:H,2,FALSE)))</f>
        <v/>
      </c>
      <c r="CN17" s="373"/>
      <c r="CO17" s="373" t="str">
        <f ca="1">IF(AW17="","",IF(ISERROR(VLOOKUP(AH17,テーブル!I:J,2,FALSE)),"",VLOOKUP(AH17,テーブル!I:J,2,FALSE)))</f>
        <v/>
      </c>
      <c r="CP17" s="373"/>
      <c r="CQ17" s="373">
        <f t="shared" ref="CQ17:CQ23" ca="1" si="2">IF(AW17="","",IF(AZ17&gt;74,"",1))</f>
        <v>1</v>
      </c>
      <c r="CR17" s="373"/>
      <c r="CS17" s="373">
        <f t="shared" ref="CS17:CS23" ca="1" si="3">IF(AW17="","",IF(CB17&gt;550000,1,IF(65&gt;AZ17,IF(CE17&gt;600000,1,""),IF(CE17&gt;1250000,1,""))))</f>
        <v>1</v>
      </c>
      <c r="CT17" s="373"/>
      <c r="CU17" s="348">
        <f ca="1">所得換算!F102</f>
        <v>0</v>
      </c>
      <c r="CV17" s="348"/>
      <c r="CW17" s="348"/>
      <c r="CX17" s="348">
        <f ca="1">所得換算!F112</f>
        <v>0</v>
      </c>
      <c r="CY17" s="348"/>
      <c r="CZ17" s="349"/>
      <c r="DA17" s="483">
        <f ca="1">IF(ROUNDDOWN(($CU$17-$BX$14)*$AW$14/100,0)&gt;0,ROUNDDOWN(($CU$17-$BX$14)*$AW$14/100,0),0)</f>
        <v>0</v>
      </c>
      <c r="DB17" s="484"/>
      <c r="DC17" s="484"/>
      <c r="DD17" s="491">
        <f ca="1">IF(ROUNDDOWN((CU17-$BX$14)*$AZ$14/100,0)&gt;0,ROUNDDOWN((CU17-$BX$14)*$AZ$14/100,0),0)</f>
        <v>0</v>
      </c>
      <c r="DE17" s="491"/>
      <c r="DF17" s="491"/>
      <c r="DG17" s="481">
        <f ca="1">IF(BV17&gt;0,IF(ROUNDDOWN((CU17-$BX$14)*$BC$14/100,0)&gt;0,ROUNDDOWN((CU17-$BX$14)*$BC$14/100,0),0),0)</f>
        <v>0</v>
      </c>
      <c r="DH17" s="481"/>
      <c r="DI17" s="482"/>
      <c r="DJ17" s="496">
        <f t="shared" ref="DJ17:DJ23" ca="1" si="4">IF(AW17="",0,$BF$14)</f>
        <v>22700</v>
      </c>
      <c r="DK17" s="484"/>
      <c r="DL17" s="484"/>
      <c r="DM17" s="491">
        <f t="shared" ref="DM17:DM23" ca="1" si="5">IF($AW17="",0,$BI$14)</f>
        <v>8300</v>
      </c>
      <c r="DN17" s="491"/>
      <c r="DO17" s="491"/>
      <c r="DP17" s="481">
        <f t="shared" ref="DP17:DP23" ca="1" si="6">IF($AW17="",0,IF(BB17=2,$BL$14,IF(OR(BF17=1,BJ17=1),$BL$14,0)))</f>
        <v>0</v>
      </c>
      <c r="DQ17" s="481"/>
      <c r="DR17" s="482"/>
      <c r="DS17" s="477">
        <f>IF(AW9="",0,BO14)</f>
        <v>21400</v>
      </c>
      <c r="DT17" s="403"/>
      <c r="DU17" s="403"/>
      <c r="DV17" s="460">
        <f>IF(AW9="",0,BR14)</f>
        <v>6000</v>
      </c>
      <c r="DW17" s="404"/>
      <c r="DX17" s="404"/>
      <c r="DY17" s="461">
        <f ca="1">IF(COUNTIF(BB17:BC23,2)&gt;0,BU14,IF(COUNTIF(BJ17:BK23,1)&gt;0,BU14,0))</f>
        <v>0</v>
      </c>
      <c r="DZ17" s="405"/>
      <c r="EA17" s="406"/>
      <c r="EB17" s="485">
        <f ca="1">DA17+DJ17+DS17</f>
        <v>44100</v>
      </c>
      <c r="EC17" s="486"/>
      <c r="ED17" s="486"/>
      <c r="EE17" s="489">
        <f t="shared" ref="EE17" ca="1" si="7">DD17+DM17+DV17</f>
        <v>14300</v>
      </c>
      <c r="EF17" s="489"/>
      <c r="EG17" s="489"/>
      <c r="EH17" s="467">
        <f t="shared" ref="EH17" ca="1" si="8">DG17+DP17+DY17</f>
        <v>0</v>
      </c>
      <c r="EI17" s="467"/>
      <c r="EJ17" s="468"/>
      <c r="EK17" s="464">
        <f ca="1">DA17</f>
        <v>0</v>
      </c>
      <c r="EL17" s="403"/>
      <c r="EM17" s="403"/>
      <c r="EN17" s="460">
        <f t="shared" ref="EN17:EN23" ca="1" si="9">DD17</f>
        <v>0</v>
      </c>
      <c r="EO17" s="404"/>
      <c r="EP17" s="404"/>
      <c r="EQ17" s="461">
        <f t="shared" ref="EQ17:EQ23" ca="1" si="10">DG17</f>
        <v>0</v>
      </c>
      <c r="ER17" s="405"/>
      <c r="ES17" s="406"/>
      <c r="ET17" s="459">
        <f ca="1">IF(CK17=1,(DJ17*$CA$14)/2,DJ17*$CA$14)</f>
        <v>6810</v>
      </c>
      <c r="EU17" s="403"/>
      <c r="EV17" s="403"/>
      <c r="EW17" s="404">
        <f ca="1">IF(CK17=1,(DM17*$CA$14)/2,DM17*$CA$14)</f>
        <v>2490</v>
      </c>
      <c r="EX17" s="404"/>
      <c r="EY17" s="404"/>
      <c r="EZ17" s="405">
        <f t="shared" ref="EZ17:EZ23" ca="1" si="11">DP17*$CA$14</f>
        <v>0</v>
      </c>
      <c r="FA17" s="405"/>
      <c r="FB17" s="406"/>
      <c r="FC17" s="402">
        <f t="shared" ref="FC17:FC23" ca="1" si="12">DS17*$CA$14</f>
        <v>6420</v>
      </c>
      <c r="FD17" s="403"/>
      <c r="FE17" s="403"/>
      <c r="FF17" s="404">
        <f t="shared" ref="FF17:FF23" ca="1" si="13">DV17*$CA$14</f>
        <v>1800</v>
      </c>
      <c r="FG17" s="404"/>
      <c r="FH17" s="404"/>
      <c r="FI17" s="405">
        <f t="shared" ref="FI17:FI23" ca="1" si="14">DY17*$CA$14</f>
        <v>0</v>
      </c>
      <c r="FJ17" s="405"/>
      <c r="FK17" s="406"/>
      <c r="FL17" s="485">
        <f ca="1">EK17+ET17+FC17</f>
        <v>13230</v>
      </c>
      <c r="FM17" s="486"/>
      <c r="FN17" s="486"/>
      <c r="FO17" s="489">
        <f ca="1">EN17+EW17+FF17</f>
        <v>4290</v>
      </c>
      <c r="FP17" s="489"/>
      <c r="FQ17" s="489"/>
      <c r="FR17" s="467">
        <f ca="1">EQ17+EZ17+FI17</f>
        <v>0</v>
      </c>
      <c r="FS17" s="467"/>
      <c r="FT17" s="468"/>
      <c r="FU17" s="428">
        <f t="shared" ref="FU17:FU23" ca="1" si="15">IF(BN17=1,ROUNDDOWN((EK17+ET17)/12,3)*BY17+ROUNDDOWN(FC17/12,3)*$BY$24,ROUNDDOWN(FL17/12,3)*$BY$24)</f>
        <v>6615</v>
      </c>
      <c r="FV17" s="429"/>
      <c r="FW17" s="429"/>
      <c r="FX17" s="352">
        <f t="shared" ref="FX17:FX23" ca="1" si="16">IF(BN17=1,ROUNDDOWN((EN17+EW17)/12,3)*BY17+ROUNDDOWN(FF17/12,3)*$BY$24,ROUNDDOWN(FO17/12,3)*$BY$24)</f>
        <v>2145</v>
      </c>
      <c r="FY17" s="352"/>
      <c r="FZ17" s="352"/>
      <c r="GA17" s="350">
        <f t="shared" ref="GA17:GA23" ca="1" si="17">ROUNDDOWN((EQ17+EZ17)/12,3)*BV17+ROUNDDOWN(FI17/12,3)*$BV$24</f>
        <v>0</v>
      </c>
      <c r="GB17" s="350"/>
      <c r="GC17" s="351"/>
    </row>
    <row r="18" spans="1:185" ht="36" customHeight="1">
      <c r="A18" s="228" t="str">
        <f ca="1">IF(AU18+AV18&gt;0,"×","")</f>
        <v/>
      </c>
      <c r="B18" s="584" t="s">
        <v>6</v>
      </c>
      <c r="C18" s="329"/>
      <c r="D18" s="329"/>
      <c r="E18" s="585"/>
      <c r="F18" s="500" t="s">
        <v>17</v>
      </c>
      <c r="G18" s="501"/>
      <c r="H18" s="502">
        <v>34</v>
      </c>
      <c r="I18" s="502"/>
      <c r="J18" s="502">
        <v>8</v>
      </c>
      <c r="K18" s="502"/>
      <c r="L18" s="502">
        <v>12</v>
      </c>
      <c r="M18" s="503"/>
      <c r="N18" s="508">
        <v>2123486</v>
      </c>
      <c r="O18" s="508"/>
      <c r="P18" s="508"/>
      <c r="Q18" s="508"/>
      <c r="R18" s="508"/>
      <c r="S18" s="509">
        <v>365815</v>
      </c>
      <c r="T18" s="510"/>
      <c r="U18" s="510"/>
      <c r="V18" s="510"/>
      <c r="W18" s="511"/>
      <c r="X18" s="510"/>
      <c r="Y18" s="510"/>
      <c r="Z18" s="510"/>
      <c r="AA18" s="510"/>
      <c r="AB18" s="570"/>
      <c r="AC18" s="383"/>
      <c r="AD18" s="384"/>
      <c r="AE18" s="384"/>
      <c r="AF18" s="384"/>
      <c r="AG18" s="384"/>
      <c r="AH18" s="512"/>
      <c r="AI18" s="513"/>
      <c r="AJ18" s="513"/>
      <c r="AK18" s="513"/>
      <c r="AL18" s="514"/>
      <c r="AM18" s="161"/>
      <c r="AU18" s="230">
        <f ca="1">IF($O$4="",IF(ISERROR(DATEVALUE(VLOOKUP(F18,テーブル!$A$2:$B$4,2,FALSE)&amp;H18&amp;"."&amp;J18&amp;"."&amp;L18)),IF(F18="",0,1),IF(DATEVALUE(VLOOKUP(F18,テーブル!$A$2:$B$4,2,FALSE)&amp;H18&amp;"."&amp;J18&amp;"."&amp;L18)&gt;$BK$4,1,0)),1)</f>
        <v>0</v>
      </c>
      <c r="AV18" s="230">
        <f>IF(ISERROR(DATEVALUE(VLOOKUP(F18,テーブル!$A$2:$B$4,2,FALSE)&amp;H18&amp;"."&amp;J18&amp;"."&amp;L18)),IF(F18="",0,1),IF(ROUNDDOWN(YEARFRAC(DATEVALUE(VLOOKUP(F18,テーブル!$A$2:$B$4,2,FALSE)&amp;H18&amp;"."&amp;J18&amp;"."&amp;L18),$AZ$4,1),0)&gt;74,1,0))</f>
        <v>0</v>
      </c>
      <c r="AW18" s="387">
        <f ca="1">IF(OR(AU18=1,AV18=1),"",IF(ISERROR(DATEVALUE(VLOOKUP(F18,テーブル!$A$2:$B$4,2,FALSE)&amp;H18&amp;"."&amp;J18&amp;"."&amp;L18)),"",IF(DATEVALUE(VLOOKUP(F18,テーブル!$A$2:$B$4,2,FALSE)&amp;H18&amp;"."&amp;J18&amp;"."&amp;L18)&gt;$BK$4,"",DATEVALUE(VLOOKUP(F18,テーブル!$A$2:$B$4,2,FALSE)&amp;H18&amp;"."&amp;J18&amp;"."&amp;L18))))</f>
        <v>21774</v>
      </c>
      <c r="AX18" s="387"/>
      <c r="AY18" s="387"/>
      <c r="AZ18" s="373">
        <f t="shared" ref="AZ18:AZ23" ca="1" si="18">IF(AW18="","",ROUNDDOWN(YEARFRAC(AW18,$AZ$4,1),0))</f>
        <v>65</v>
      </c>
      <c r="BA18" s="373"/>
      <c r="BB18" s="373">
        <f ca="1">IF(AW18="","",VLOOKUP(AZ18,テーブル!C:D,2,FALSE))</f>
        <v>1</v>
      </c>
      <c r="BC18" s="373"/>
      <c r="BD18" s="387" t="str">
        <f t="shared" ref="BD18:BD23" ca="1" si="19">IF(AZ18=64,DATE(YEAR(AW18)+65,MONTH(AW18),DAY(AW18)),"")</f>
        <v/>
      </c>
      <c r="BE18" s="387"/>
      <c r="BF18" s="390" t="str">
        <f t="shared" ref="BF18:BF23" ca="1" si="20">IF(BD18&gt;$AZ$4,IF($BK$4&gt;BD18,1,""),"")</f>
        <v/>
      </c>
      <c r="BG18" s="390"/>
      <c r="BH18" s="387" t="str">
        <f t="shared" ref="BH18:BH23" ca="1" si="21">IF(AZ18=39,DATE(YEAR(AW18)+40,MONTH(AW18),DAY(AW18)),"")</f>
        <v/>
      </c>
      <c r="BI18" s="387"/>
      <c r="BJ18" s="390" t="str">
        <f t="shared" ref="BJ18:BJ23" ca="1" si="22">IF(BH18&gt;$AZ$4,IF($BK$4&gt;BH18,1,""),"")</f>
        <v/>
      </c>
      <c r="BK18" s="390"/>
      <c r="BL18" s="636" t="str">
        <f ca="1">IF(AZ18=74,DATE(YEAR(AW18)+75,MONTH(AW18),DAY(AW18)),IF(AND(AZ18=0,AW18&gt;$AZ$4),AW18,""))</f>
        <v/>
      </c>
      <c r="BM18" s="637"/>
      <c r="BN18" s="390" t="str">
        <f ca="1">IF(BL18&gt;$AZ$4,IF($BK$4&gt;BL18,IF(AZ18=0,2,1),""),"")</f>
        <v/>
      </c>
      <c r="BO18" s="390"/>
      <c r="BP18" s="525" t="str">
        <f t="shared" ref="BP18:BP23" ca="1" si="23">IF(BB18=2,$AZ$4,IF(BJ18=1,BH18,""))</f>
        <v/>
      </c>
      <c r="BQ18" s="526"/>
      <c r="BR18" s="527"/>
      <c r="BS18" s="525" t="str">
        <f t="shared" ref="BS18:BS23" ca="1" si="24">IF(BB18=2,IF(BF18=1,BD18,$BK$4),IF(BJ18=1,$BK$4,""))</f>
        <v/>
      </c>
      <c r="BT18" s="526"/>
      <c r="BU18" s="527"/>
      <c r="BV18" s="390">
        <f ca="1">IF(BF18=1,ROUNDDOWN(ROUNDDOWN(BD18-$AZ$4,0)/30+1,0),IF(BJ18=1,12-ROUNDDOWN(ROUNDDOWN(BH18-$BN$4,0)/30,0)+1,IF(BB18=2,$BQ$4,0)))</f>
        <v>0</v>
      </c>
      <c r="BW18" s="390"/>
      <c r="BX18" s="390"/>
      <c r="BY18" s="522">
        <f t="shared" ref="BY18:BY23" ca="1" si="25">IF(AW18="",0,IF(BN18=1,ROUNDDOWN(ROUNDDOWN(BL18-$AZ$4,0)/30+1,0),IF(BN18=2,ROUNDDOWN(ROUNDDOWN($BK$4-BL18,0)/30+1,0),$BQ$4)))</f>
        <v>6</v>
      </c>
      <c r="BZ18" s="523"/>
      <c r="CA18" s="524"/>
      <c r="CB18" s="348">
        <f t="shared" ref="CB18:CB23" si="26">N18</f>
        <v>2123486</v>
      </c>
      <c r="CC18" s="348"/>
      <c r="CD18" s="348"/>
      <c r="CE18" s="348">
        <f t="shared" ref="CE18:CE23" si="27">S18</f>
        <v>365815</v>
      </c>
      <c r="CF18" s="348"/>
      <c r="CG18" s="348"/>
      <c r="CH18" s="348">
        <f t="shared" ref="CH18:CH23" si="28">X18</f>
        <v>0</v>
      </c>
      <c r="CI18" s="348"/>
      <c r="CJ18" s="348"/>
      <c r="CK18" s="373" t="str">
        <f t="shared" ref="CK18:CK23" ca="1" si="29">IF(AW18="","",IF(BB18=5,1,IF(BB18=4,IF(AW18&gt;$BF$4-1,1,""),"")))</f>
        <v/>
      </c>
      <c r="CL18" s="373"/>
      <c r="CM18" s="373" t="str">
        <f ca="1">IF(AW18="","",IF(ISERROR(VLOOKUP(AC18,テーブル!G:H,2,FALSE)),"",VLOOKUP(AC18,テーブル!G:H,2,FALSE)))</f>
        <v/>
      </c>
      <c r="CN18" s="373"/>
      <c r="CO18" s="373" t="str">
        <f ca="1">IF(AW18="","",IF(ISERROR(VLOOKUP(AH18,テーブル!I:J,2,FALSE)),"",VLOOKUP(AH18,テーブル!I:J,2,FALSE)))</f>
        <v/>
      </c>
      <c r="CP18" s="373"/>
      <c r="CQ18" s="373">
        <f t="shared" ca="1" si="2"/>
        <v>1</v>
      </c>
      <c r="CR18" s="373"/>
      <c r="CS18" s="373">
        <f t="shared" ca="1" si="3"/>
        <v>1</v>
      </c>
      <c r="CT18" s="373"/>
      <c r="CU18" s="348">
        <f ca="1">所得換算!F103</f>
        <v>0</v>
      </c>
      <c r="CV18" s="348"/>
      <c r="CW18" s="348"/>
      <c r="CX18" s="348">
        <f ca="1">所得換算!F113</f>
        <v>0</v>
      </c>
      <c r="CY18" s="348"/>
      <c r="CZ18" s="349"/>
      <c r="DA18" s="483">
        <f t="shared" ref="DA18:DA23" ca="1" si="30">IF(ROUNDDOWN((CU18-$BX$14)*$AW$14/100,0)&gt;0,ROUNDDOWN((CU18-$BX$14)*$AW$14/100,0),0)</f>
        <v>0</v>
      </c>
      <c r="DB18" s="484"/>
      <c r="DC18" s="484"/>
      <c r="DD18" s="491">
        <f t="shared" ref="DD18:DD23" ca="1" si="31">IF(ROUNDDOWN((CU18-$BX$14)*$AZ$14/100,0)&gt;0,ROUNDDOWN((CU18-$BX$14)*$AZ$14/100,0),0)</f>
        <v>0</v>
      </c>
      <c r="DE18" s="491"/>
      <c r="DF18" s="491"/>
      <c r="DG18" s="481">
        <f t="shared" ref="DG18:DG23" ca="1" si="32">IF(BV18&gt;0,IF(ROUNDDOWN((CU18-$BX$14)*$BC$14/100,0)&gt;0,ROUNDDOWN((CU18-$BX$14)*$BC$14/100,0),0),0)</f>
        <v>0</v>
      </c>
      <c r="DH18" s="481"/>
      <c r="DI18" s="482"/>
      <c r="DJ18" s="496">
        <f t="shared" ca="1" si="4"/>
        <v>22700</v>
      </c>
      <c r="DK18" s="484"/>
      <c r="DL18" s="484"/>
      <c r="DM18" s="491">
        <f t="shared" ca="1" si="5"/>
        <v>8300</v>
      </c>
      <c r="DN18" s="491"/>
      <c r="DO18" s="491"/>
      <c r="DP18" s="481">
        <f t="shared" ca="1" si="6"/>
        <v>0</v>
      </c>
      <c r="DQ18" s="481"/>
      <c r="DR18" s="482"/>
      <c r="DS18" s="459">
        <v>0</v>
      </c>
      <c r="DT18" s="403"/>
      <c r="DU18" s="403"/>
      <c r="DV18" s="404">
        <v>0</v>
      </c>
      <c r="DW18" s="404"/>
      <c r="DX18" s="404"/>
      <c r="DY18" s="405">
        <v>0</v>
      </c>
      <c r="DZ18" s="405"/>
      <c r="EA18" s="406"/>
      <c r="EB18" s="485">
        <f t="shared" ref="EB18:EB23" ca="1" si="33">DA18+DJ18</f>
        <v>22700</v>
      </c>
      <c r="EC18" s="486"/>
      <c r="ED18" s="486"/>
      <c r="EE18" s="489">
        <f t="shared" ref="EE18:EE23" ca="1" si="34">DD18+DM18</f>
        <v>8300</v>
      </c>
      <c r="EF18" s="489"/>
      <c r="EG18" s="489"/>
      <c r="EH18" s="467">
        <f t="shared" ref="EH18:EH23" ca="1" si="35">DG18+DP18</f>
        <v>0</v>
      </c>
      <c r="EI18" s="467"/>
      <c r="EJ18" s="468"/>
      <c r="EK18" s="464">
        <f t="shared" ref="EK18:EK23" ca="1" si="36">DA18</f>
        <v>0</v>
      </c>
      <c r="EL18" s="403"/>
      <c r="EM18" s="403"/>
      <c r="EN18" s="460">
        <f t="shared" ca="1" si="9"/>
        <v>0</v>
      </c>
      <c r="EO18" s="404"/>
      <c r="EP18" s="404"/>
      <c r="EQ18" s="461">
        <f t="shared" ca="1" si="10"/>
        <v>0</v>
      </c>
      <c r="ER18" s="405"/>
      <c r="ES18" s="406"/>
      <c r="ET18" s="459">
        <f t="shared" ref="ET18:ET23" ca="1" si="37">IF(CK18=1,(DJ18*$CA$14)/2,DJ18*$CA$14)</f>
        <v>6810</v>
      </c>
      <c r="EU18" s="403"/>
      <c r="EV18" s="403"/>
      <c r="EW18" s="404">
        <f t="shared" ref="EW18:EW23" ca="1" si="38">IF(CK18=1,(DM18*$CA$14)/2,DM18*$CA$14)</f>
        <v>2490</v>
      </c>
      <c r="EX18" s="404"/>
      <c r="EY18" s="404"/>
      <c r="EZ18" s="405">
        <f t="shared" ca="1" si="11"/>
        <v>0</v>
      </c>
      <c r="FA18" s="405"/>
      <c r="FB18" s="406"/>
      <c r="FC18" s="402">
        <f t="shared" ca="1" si="12"/>
        <v>0</v>
      </c>
      <c r="FD18" s="403"/>
      <c r="FE18" s="403"/>
      <c r="FF18" s="404">
        <f t="shared" ca="1" si="13"/>
        <v>0</v>
      </c>
      <c r="FG18" s="404"/>
      <c r="FH18" s="404"/>
      <c r="FI18" s="405">
        <f t="shared" ca="1" si="14"/>
        <v>0</v>
      </c>
      <c r="FJ18" s="405"/>
      <c r="FK18" s="406"/>
      <c r="FL18" s="485">
        <f t="shared" ref="FL18:FL23" ca="1" si="39">EK18+ET18</f>
        <v>6810</v>
      </c>
      <c r="FM18" s="486"/>
      <c r="FN18" s="486"/>
      <c r="FO18" s="489">
        <f t="shared" ref="FO18:FO23" ca="1" si="40">EN18+EW18</f>
        <v>2490</v>
      </c>
      <c r="FP18" s="489"/>
      <c r="FQ18" s="489"/>
      <c r="FR18" s="467">
        <f t="shared" ref="FR18:FR23" ca="1" si="41">EQ18+EZ18</f>
        <v>0</v>
      </c>
      <c r="FS18" s="467"/>
      <c r="FT18" s="468"/>
      <c r="FU18" s="428">
        <f t="shared" ca="1" si="15"/>
        <v>3405</v>
      </c>
      <c r="FV18" s="429"/>
      <c r="FW18" s="429"/>
      <c r="FX18" s="352">
        <f t="shared" ca="1" si="16"/>
        <v>1245</v>
      </c>
      <c r="FY18" s="352"/>
      <c r="FZ18" s="352"/>
      <c r="GA18" s="350">
        <f t="shared" ca="1" si="17"/>
        <v>0</v>
      </c>
      <c r="GB18" s="350"/>
      <c r="GC18" s="351"/>
    </row>
    <row r="19" spans="1:185" ht="36" customHeight="1">
      <c r="A19" s="228" t="str">
        <f t="shared" ref="A19:A23" ca="1" si="42">IF(AU19+AV19&gt;0,"×","")</f>
        <v/>
      </c>
      <c r="B19" s="584" t="s">
        <v>7</v>
      </c>
      <c r="C19" s="329"/>
      <c r="D19" s="329"/>
      <c r="E19" s="585"/>
      <c r="F19" s="500" t="s">
        <v>17</v>
      </c>
      <c r="G19" s="501"/>
      <c r="H19" s="502">
        <v>62</v>
      </c>
      <c r="I19" s="502"/>
      <c r="J19" s="502">
        <v>5</v>
      </c>
      <c r="K19" s="502"/>
      <c r="L19" s="502">
        <v>20</v>
      </c>
      <c r="M19" s="503"/>
      <c r="N19" s="510">
        <v>3645200</v>
      </c>
      <c r="O19" s="510"/>
      <c r="P19" s="510"/>
      <c r="Q19" s="510"/>
      <c r="R19" s="510"/>
      <c r="S19" s="653"/>
      <c r="T19" s="508"/>
      <c r="U19" s="508"/>
      <c r="V19" s="508"/>
      <c r="W19" s="654"/>
      <c r="X19" s="508">
        <v>512400</v>
      </c>
      <c r="Y19" s="508"/>
      <c r="Z19" s="508"/>
      <c r="AA19" s="508"/>
      <c r="AB19" s="638"/>
      <c r="AC19" s="542" t="s">
        <v>23</v>
      </c>
      <c r="AD19" s="543"/>
      <c r="AE19" s="543"/>
      <c r="AF19" s="543"/>
      <c r="AG19" s="543"/>
      <c r="AH19" s="512"/>
      <c r="AI19" s="513"/>
      <c r="AJ19" s="513"/>
      <c r="AK19" s="513"/>
      <c r="AL19" s="514"/>
      <c r="AM19" s="161"/>
      <c r="AU19" s="230">
        <f ca="1">IF($O$4="",IF(ISERROR(DATEVALUE(VLOOKUP(F19,テーブル!$A$2:$B$4,2,FALSE)&amp;H19&amp;"."&amp;J19&amp;"."&amp;L19)),IF(F19="",0,1),IF(DATEVALUE(VLOOKUP(F19,テーブル!$A$2:$B$4,2,FALSE)&amp;H19&amp;"."&amp;J19&amp;"."&amp;L19)&gt;$BK$4,1,0)),1)</f>
        <v>0</v>
      </c>
      <c r="AV19" s="230">
        <f>IF(ISERROR(DATEVALUE(VLOOKUP(F19,テーブル!$A$2:$B$4,2,FALSE)&amp;H19&amp;"."&amp;J19&amp;"."&amp;L19)),IF(F19="",0,1),IF(ROUNDDOWN(YEARFRAC(DATEVALUE(VLOOKUP(F19,テーブル!$A$2:$B$4,2,FALSE)&amp;H19&amp;"."&amp;J19&amp;"."&amp;L19),$AZ$4,1),0)&gt;74,1,0))</f>
        <v>0</v>
      </c>
      <c r="AW19" s="387">
        <f ca="1">IF(OR(AU19=1,AV19=1),"",IF(ISERROR(DATEVALUE(VLOOKUP(F19,テーブル!$A$2:$B$4,2,FALSE)&amp;H19&amp;"."&amp;J19&amp;"."&amp;L19)),"",IF(DATEVALUE(VLOOKUP(F19,テーブル!$A$2:$B$4,2,FALSE)&amp;H19&amp;"."&amp;J19&amp;"."&amp;L19)&gt;$BK$4,"",DATEVALUE(VLOOKUP(F19,テーブル!$A$2:$B$4,2,FALSE)&amp;H19&amp;"."&amp;J19&amp;"."&amp;L19))))</f>
        <v>31917</v>
      </c>
      <c r="AX19" s="387"/>
      <c r="AY19" s="387"/>
      <c r="AZ19" s="373">
        <f t="shared" ca="1" si="18"/>
        <v>37</v>
      </c>
      <c r="BA19" s="373"/>
      <c r="BB19" s="373">
        <f ca="1">IF(AW19="","",VLOOKUP(AZ19,テーブル!C:D,2,FALSE))</f>
        <v>3</v>
      </c>
      <c r="BC19" s="373"/>
      <c r="BD19" s="387" t="str">
        <f t="shared" ca="1" si="19"/>
        <v/>
      </c>
      <c r="BE19" s="387"/>
      <c r="BF19" s="390" t="str">
        <f t="shared" ca="1" si="20"/>
        <v/>
      </c>
      <c r="BG19" s="390"/>
      <c r="BH19" s="387" t="str">
        <f t="shared" ca="1" si="21"/>
        <v/>
      </c>
      <c r="BI19" s="387"/>
      <c r="BJ19" s="390" t="str">
        <f t="shared" ca="1" si="22"/>
        <v/>
      </c>
      <c r="BK19" s="390"/>
      <c r="BL19" s="636" t="str">
        <f t="shared" ref="BL19:BL23" ca="1" si="43">IF(AZ19=74,DATE(YEAR(AW19)+75,MONTH(AW19),DAY(AW19)),IF(AND(AZ19=0,AW19&gt;$AZ$4),AW19,""))</f>
        <v/>
      </c>
      <c r="BM19" s="637"/>
      <c r="BN19" s="390" t="str">
        <f t="shared" ref="BN19:BN23" ca="1" si="44">IF(BL19&gt;$AZ$4,IF($BK$4&gt;BL19,IF(AZ19=0,2,1),""),"")</f>
        <v/>
      </c>
      <c r="BO19" s="390"/>
      <c r="BP19" s="525" t="str">
        <f t="shared" ca="1" si="23"/>
        <v/>
      </c>
      <c r="BQ19" s="526"/>
      <c r="BR19" s="527"/>
      <c r="BS19" s="525" t="str">
        <f t="shared" ca="1" si="24"/>
        <v/>
      </c>
      <c r="BT19" s="526"/>
      <c r="BU19" s="527"/>
      <c r="BV19" s="390">
        <f t="shared" ref="BV19:BV23" ca="1" si="45">IF(BF19=1,ROUNDDOWN(ROUNDDOWN(BD19-$AZ$4,0)/30+1,0),IF(BJ19=1,12-ROUNDDOWN(ROUNDDOWN(BH19-$BN$4,0)/30,0)+1,IF(BB19=2,$BQ$4,0)))</f>
        <v>0</v>
      </c>
      <c r="BW19" s="390"/>
      <c r="BX19" s="390"/>
      <c r="BY19" s="522">
        <f t="shared" ca="1" si="25"/>
        <v>6</v>
      </c>
      <c r="BZ19" s="523"/>
      <c r="CA19" s="524"/>
      <c r="CB19" s="348">
        <f t="shared" si="26"/>
        <v>3645200</v>
      </c>
      <c r="CC19" s="348"/>
      <c r="CD19" s="348"/>
      <c r="CE19" s="348">
        <f t="shared" si="27"/>
        <v>0</v>
      </c>
      <c r="CF19" s="348"/>
      <c r="CG19" s="348"/>
      <c r="CH19" s="348">
        <f t="shared" si="28"/>
        <v>512400</v>
      </c>
      <c r="CI19" s="348"/>
      <c r="CJ19" s="348"/>
      <c r="CK19" s="373" t="str">
        <f t="shared" ca="1" si="29"/>
        <v/>
      </c>
      <c r="CL19" s="373"/>
      <c r="CM19" s="373" t="str">
        <f ca="1">IF(AW19="","",IF(ISERROR(VLOOKUP(AC19,テーブル!G:H,2,FALSE)),"",VLOOKUP(AC19,テーブル!G:H,2,FALSE)))</f>
        <v/>
      </c>
      <c r="CN19" s="373"/>
      <c r="CO19" s="373" t="str">
        <f ca="1">IF(AW19="","",IF(ISERROR(VLOOKUP(AH19,テーブル!I:J,2,FALSE)),"",VLOOKUP(AH19,テーブル!I:J,2,FALSE)))</f>
        <v/>
      </c>
      <c r="CP19" s="373"/>
      <c r="CQ19" s="373">
        <f t="shared" ca="1" si="2"/>
        <v>1</v>
      </c>
      <c r="CR19" s="373"/>
      <c r="CS19" s="373">
        <f t="shared" ca="1" si="3"/>
        <v>1</v>
      </c>
      <c r="CT19" s="373"/>
      <c r="CU19" s="348">
        <f ca="1">所得換算!F104</f>
        <v>0</v>
      </c>
      <c r="CV19" s="348"/>
      <c r="CW19" s="348"/>
      <c r="CX19" s="348">
        <f ca="1">所得換算!F114</f>
        <v>0</v>
      </c>
      <c r="CY19" s="348"/>
      <c r="CZ19" s="349"/>
      <c r="DA19" s="483">
        <f t="shared" ca="1" si="30"/>
        <v>0</v>
      </c>
      <c r="DB19" s="484"/>
      <c r="DC19" s="484"/>
      <c r="DD19" s="491">
        <f t="shared" ca="1" si="31"/>
        <v>0</v>
      </c>
      <c r="DE19" s="491"/>
      <c r="DF19" s="491"/>
      <c r="DG19" s="481">
        <f t="shared" ca="1" si="32"/>
        <v>0</v>
      </c>
      <c r="DH19" s="481"/>
      <c r="DI19" s="482"/>
      <c r="DJ19" s="496">
        <f t="shared" ca="1" si="4"/>
        <v>22700</v>
      </c>
      <c r="DK19" s="484"/>
      <c r="DL19" s="484"/>
      <c r="DM19" s="491">
        <f t="shared" ca="1" si="5"/>
        <v>8300</v>
      </c>
      <c r="DN19" s="491"/>
      <c r="DO19" s="491"/>
      <c r="DP19" s="481">
        <f t="shared" ca="1" si="6"/>
        <v>0</v>
      </c>
      <c r="DQ19" s="481"/>
      <c r="DR19" s="482"/>
      <c r="DS19" s="459">
        <v>0</v>
      </c>
      <c r="DT19" s="403"/>
      <c r="DU19" s="403"/>
      <c r="DV19" s="404">
        <v>0</v>
      </c>
      <c r="DW19" s="404"/>
      <c r="DX19" s="404"/>
      <c r="DY19" s="405">
        <v>0</v>
      </c>
      <c r="DZ19" s="405"/>
      <c r="EA19" s="406"/>
      <c r="EB19" s="485">
        <f t="shared" ca="1" si="33"/>
        <v>22700</v>
      </c>
      <c r="EC19" s="486"/>
      <c r="ED19" s="486"/>
      <c r="EE19" s="489">
        <f t="shared" ca="1" si="34"/>
        <v>8300</v>
      </c>
      <c r="EF19" s="489"/>
      <c r="EG19" s="489"/>
      <c r="EH19" s="467">
        <f t="shared" ca="1" si="35"/>
        <v>0</v>
      </c>
      <c r="EI19" s="467"/>
      <c r="EJ19" s="468"/>
      <c r="EK19" s="464">
        <f t="shared" ca="1" si="36"/>
        <v>0</v>
      </c>
      <c r="EL19" s="403"/>
      <c r="EM19" s="403"/>
      <c r="EN19" s="460">
        <f t="shared" ca="1" si="9"/>
        <v>0</v>
      </c>
      <c r="EO19" s="404"/>
      <c r="EP19" s="404"/>
      <c r="EQ19" s="461">
        <f t="shared" ca="1" si="10"/>
        <v>0</v>
      </c>
      <c r="ER19" s="405"/>
      <c r="ES19" s="406"/>
      <c r="ET19" s="459">
        <f t="shared" ca="1" si="37"/>
        <v>6810</v>
      </c>
      <c r="EU19" s="403"/>
      <c r="EV19" s="403"/>
      <c r="EW19" s="404">
        <f t="shared" ca="1" si="38"/>
        <v>2490</v>
      </c>
      <c r="EX19" s="404"/>
      <c r="EY19" s="404"/>
      <c r="EZ19" s="405">
        <f t="shared" ca="1" si="11"/>
        <v>0</v>
      </c>
      <c r="FA19" s="405"/>
      <c r="FB19" s="406"/>
      <c r="FC19" s="402">
        <f t="shared" ca="1" si="12"/>
        <v>0</v>
      </c>
      <c r="FD19" s="403"/>
      <c r="FE19" s="403"/>
      <c r="FF19" s="404">
        <f t="shared" ca="1" si="13"/>
        <v>0</v>
      </c>
      <c r="FG19" s="404"/>
      <c r="FH19" s="404"/>
      <c r="FI19" s="405">
        <f t="shared" ca="1" si="14"/>
        <v>0</v>
      </c>
      <c r="FJ19" s="405"/>
      <c r="FK19" s="406"/>
      <c r="FL19" s="485">
        <f t="shared" ca="1" si="39"/>
        <v>6810</v>
      </c>
      <c r="FM19" s="486"/>
      <c r="FN19" s="486"/>
      <c r="FO19" s="489">
        <f t="shared" ca="1" si="40"/>
        <v>2490</v>
      </c>
      <c r="FP19" s="489"/>
      <c r="FQ19" s="489"/>
      <c r="FR19" s="467">
        <f t="shared" ca="1" si="41"/>
        <v>0</v>
      </c>
      <c r="FS19" s="467"/>
      <c r="FT19" s="468"/>
      <c r="FU19" s="428">
        <f t="shared" ca="1" si="15"/>
        <v>3405</v>
      </c>
      <c r="FV19" s="429"/>
      <c r="FW19" s="429"/>
      <c r="FX19" s="352">
        <f t="shared" ca="1" si="16"/>
        <v>1245</v>
      </c>
      <c r="FY19" s="352"/>
      <c r="FZ19" s="352"/>
      <c r="GA19" s="350">
        <f t="shared" ca="1" si="17"/>
        <v>0</v>
      </c>
      <c r="GB19" s="350"/>
      <c r="GC19" s="351"/>
    </row>
    <row r="20" spans="1:185" ht="36" customHeight="1">
      <c r="A20" s="228" t="str">
        <f t="shared" ca="1" si="42"/>
        <v/>
      </c>
      <c r="B20" s="584" t="s">
        <v>8</v>
      </c>
      <c r="C20" s="329"/>
      <c r="D20" s="329"/>
      <c r="E20" s="585"/>
      <c r="F20" s="500" t="s">
        <v>20</v>
      </c>
      <c r="G20" s="501"/>
      <c r="H20" s="502">
        <v>4</v>
      </c>
      <c r="I20" s="502"/>
      <c r="J20" s="502">
        <v>6</v>
      </c>
      <c r="K20" s="502"/>
      <c r="L20" s="502">
        <v>18</v>
      </c>
      <c r="M20" s="503"/>
      <c r="N20" s="510"/>
      <c r="O20" s="510"/>
      <c r="P20" s="510"/>
      <c r="Q20" s="510"/>
      <c r="R20" s="510"/>
      <c r="S20" s="509"/>
      <c r="T20" s="510"/>
      <c r="U20" s="510"/>
      <c r="V20" s="510"/>
      <c r="W20" s="511"/>
      <c r="X20" s="510"/>
      <c r="Y20" s="510"/>
      <c r="Z20" s="510"/>
      <c r="AA20" s="510"/>
      <c r="AB20" s="570"/>
      <c r="AC20" s="383"/>
      <c r="AD20" s="384"/>
      <c r="AE20" s="384"/>
      <c r="AF20" s="384"/>
      <c r="AG20" s="384"/>
      <c r="AH20" s="512"/>
      <c r="AI20" s="513"/>
      <c r="AJ20" s="513"/>
      <c r="AK20" s="513"/>
      <c r="AL20" s="514"/>
      <c r="AM20" s="161"/>
      <c r="AU20" s="230">
        <f ca="1">IF($O$4="",IF(ISERROR(DATEVALUE(VLOOKUP(F20,テーブル!$A$2:$B$4,2,FALSE)&amp;H20&amp;"."&amp;J20&amp;"."&amp;L20)),IF(F20="",0,1),IF(DATEVALUE(VLOOKUP(F20,テーブル!$A$2:$B$4,2,FALSE)&amp;H20&amp;"."&amp;J20&amp;"."&amp;L20)&gt;$BK$4,1,0)),1)</f>
        <v>0</v>
      </c>
      <c r="AV20" s="230">
        <f>IF(ISERROR(DATEVALUE(VLOOKUP(F20,テーブル!$A$2:$B$4,2,FALSE)&amp;H20&amp;"."&amp;J20&amp;"."&amp;L20)),IF(F20="",0,1),IF(ROUNDDOWN(YEARFRAC(DATEVALUE(VLOOKUP(F20,テーブル!$A$2:$B$4,2,FALSE)&amp;H20&amp;"."&amp;J20&amp;"."&amp;L20),$AZ$4,1),0)&gt;74,1,0))</f>
        <v>0</v>
      </c>
      <c r="AW20" s="387">
        <f ca="1">IF(OR(AU20=1,AV20=1),"",IF(ISERROR(DATEVALUE(VLOOKUP(F20,テーブル!$A$2:$B$4,2,FALSE)&amp;H20&amp;"."&amp;J20&amp;"."&amp;L20)),"",IF(DATEVALUE(VLOOKUP(F20,テーブル!$A$2:$B$4,2,FALSE)&amp;H20&amp;"."&amp;J20&amp;"."&amp;L20)&gt;$BK$4,"",DATEVALUE(VLOOKUP(F20,テーブル!$A$2:$B$4,2,FALSE)&amp;H20&amp;"."&amp;J20&amp;"."&amp;L20))))</f>
        <v>44730</v>
      </c>
      <c r="AX20" s="387"/>
      <c r="AY20" s="387"/>
      <c r="AZ20" s="373">
        <f t="shared" ca="1" si="18"/>
        <v>2</v>
      </c>
      <c r="BA20" s="373"/>
      <c r="BB20" s="373">
        <f ca="1">IF(AW20="","",VLOOKUP(AZ20,テーブル!C:D,2,FALSE))</f>
        <v>5</v>
      </c>
      <c r="BC20" s="373"/>
      <c r="BD20" s="387" t="str">
        <f t="shared" ca="1" si="19"/>
        <v/>
      </c>
      <c r="BE20" s="387"/>
      <c r="BF20" s="390" t="str">
        <f t="shared" ca="1" si="20"/>
        <v/>
      </c>
      <c r="BG20" s="390"/>
      <c r="BH20" s="387" t="str">
        <f t="shared" ca="1" si="21"/>
        <v/>
      </c>
      <c r="BI20" s="387"/>
      <c r="BJ20" s="390" t="str">
        <f t="shared" ca="1" si="22"/>
        <v/>
      </c>
      <c r="BK20" s="390"/>
      <c r="BL20" s="636" t="str">
        <f t="shared" ca="1" si="43"/>
        <v/>
      </c>
      <c r="BM20" s="637"/>
      <c r="BN20" s="390" t="str">
        <f t="shared" ca="1" si="44"/>
        <v/>
      </c>
      <c r="BO20" s="390"/>
      <c r="BP20" s="525" t="str">
        <f t="shared" ca="1" si="23"/>
        <v/>
      </c>
      <c r="BQ20" s="526"/>
      <c r="BR20" s="527"/>
      <c r="BS20" s="525" t="str">
        <f t="shared" ca="1" si="24"/>
        <v/>
      </c>
      <c r="BT20" s="526"/>
      <c r="BU20" s="527"/>
      <c r="BV20" s="390">
        <f t="shared" ca="1" si="45"/>
        <v>0</v>
      </c>
      <c r="BW20" s="390"/>
      <c r="BX20" s="390"/>
      <c r="BY20" s="522">
        <f t="shared" ca="1" si="25"/>
        <v>6</v>
      </c>
      <c r="BZ20" s="523"/>
      <c r="CA20" s="524"/>
      <c r="CB20" s="348">
        <f t="shared" si="26"/>
        <v>0</v>
      </c>
      <c r="CC20" s="348"/>
      <c r="CD20" s="348"/>
      <c r="CE20" s="348">
        <f t="shared" si="27"/>
        <v>0</v>
      </c>
      <c r="CF20" s="348"/>
      <c r="CG20" s="348"/>
      <c r="CH20" s="348">
        <f t="shared" si="28"/>
        <v>0</v>
      </c>
      <c r="CI20" s="348"/>
      <c r="CJ20" s="348"/>
      <c r="CK20" s="373">
        <f t="shared" ca="1" si="29"/>
        <v>1</v>
      </c>
      <c r="CL20" s="373"/>
      <c r="CM20" s="373" t="str">
        <f ca="1">IF(AW20="","",IF(ISERROR(VLOOKUP(AC20,テーブル!G:H,2,FALSE)),"",VLOOKUP(AC20,テーブル!G:H,2,FALSE)))</f>
        <v/>
      </c>
      <c r="CN20" s="373"/>
      <c r="CO20" s="373" t="str">
        <f ca="1">IF(AW20="","",IF(ISERROR(VLOOKUP(AH20,テーブル!I:J,2,FALSE)),"",VLOOKUP(AH20,テーブル!I:J,2,FALSE)))</f>
        <v/>
      </c>
      <c r="CP20" s="373"/>
      <c r="CQ20" s="373">
        <f t="shared" ca="1" si="2"/>
        <v>1</v>
      </c>
      <c r="CR20" s="373"/>
      <c r="CS20" s="373" t="str">
        <f t="shared" ca="1" si="3"/>
        <v/>
      </c>
      <c r="CT20" s="373"/>
      <c r="CU20" s="348">
        <f ca="1">所得換算!F105</f>
        <v>0</v>
      </c>
      <c r="CV20" s="348"/>
      <c r="CW20" s="348"/>
      <c r="CX20" s="348">
        <f ca="1">所得換算!F115</f>
        <v>0</v>
      </c>
      <c r="CY20" s="348"/>
      <c r="CZ20" s="349"/>
      <c r="DA20" s="483">
        <f t="shared" ca="1" si="30"/>
        <v>0</v>
      </c>
      <c r="DB20" s="484"/>
      <c r="DC20" s="484"/>
      <c r="DD20" s="491">
        <f t="shared" ca="1" si="31"/>
        <v>0</v>
      </c>
      <c r="DE20" s="491"/>
      <c r="DF20" s="491"/>
      <c r="DG20" s="481">
        <f t="shared" ca="1" si="32"/>
        <v>0</v>
      </c>
      <c r="DH20" s="481"/>
      <c r="DI20" s="482"/>
      <c r="DJ20" s="496">
        <f t="shared" ca="1" si="4"/>
        <v>22700</v>
      </c>
      <c r="DK20" s="484"/>
      <c r="DL20" s="484"/>
      <c r="DM20" s="491">
        <f t="shared" ca="1" si="5"/>
        <v>8300</v>
      </c>
      <c r="DN20" s="491"/>
      <c r="DO20" s="491"/>
      <c r="DP20" s="481">
        <f t="shared" ca="1" si="6"/>
        <v>0</v>
      </c>
      <c r="DQ20" s="481"/>
      <c r="DR20" s="482"/>
      <c r="DS20" s="459">
        <v>0</v>
      </c>
      <c r="DT20" s="403"/>
      <c r="DU20" s="403"/>
      <c r="DV20" s="404">
        <v>0</v>
      </c>
      <c r="DW20" s="404"/>
      <c r="DX20" s="404"/>
      <c r="DY20" s="405">
        <v>0</v>
      </c>
      <c r="DZ20" s="405"/>
      <c r="EA20" s="406"/>
      <c r="EB20" s="485">
        <f t="shared" ca="1" si="33"/>
        <v>22700</v>
      </c>
      <c r="EC20" s="486"/>
      <c r="ED20" s="486"/>
      <c r="EE20" s="489">
        <f t="shared" ca="1" si="34"/>
        <v>8300</v>
      </c>
      <c r="EF20" s="489"/>
      <c r="EG20" s="489"/>
      <c r="EH20" s="467">
        <f t="shared" ca="1" si="35"/>
        <v>0</v>
      </c>
      <c r="EI20" s="467"/>
      <c r="EJ20" s="468"/>
      <c r="EK20" s="464">
        <f t="shared" ca="1" si="36"/>
        <v>0</v>
      </c>
      <c r="EL20" s="403"/>
      <c r="EM20" s="403"/>
      <c r="EN20" s="460">
        <f t="shared" ca="1" si="9"/>
        <v>0</v>
      </c>
      <c r="EO20" s="404"/>
      <c r="EP20" s="404"/>
      <c r="EQ20" s="461">
        <f t="shared" ca="1" si="10"/>
        <v>0</v>
      </c>
      <c r="ER20" s="405"/>
      <c r="ES20" s="406"/>
      <c r="ET20" s="459">
        <f t="shared" ca="1" si="37"/>
        <v>3405</v>
      </c>
      <c r="EU20" s="403"/>
      <c r="EV20" s="403"/>
      <c r="EW20" s="404">
        <f t="shared" ca="1" si="38"/>
        <v>1245</v>
      </c>
      <c r="EX20" s="404"/>
      <c r="EY20" s="404"/>
      <c r="EZ20" s="405">
        <f t="shared" ca="1" si="11"/>
        <v>0</v>
      </c>
      <c r="FA20" s="405"/>
      <c r="FB20" s="406"/>
      <c r="FC20" s="402">
        <f t="shared" ca="1" si="12"/>
        <v>0</v>
      </c>
      <c r="FD20" s="403"/>
      <c r="FE20" s="403"/>
      <c r="FF20" s="404">
        <f t="shared" ca="1" si="13"/>
        <v>0</v>
      </c>
      <c r="FG20" s="404"/>
      <c r="FH20" s="404"/>
      <c r="FI20" s="405">
        <f t="shared" ca="1" si="14"/>
        <v>0</v>
      </c>
      <c r="FJ20" s="405"/>
      <c r="FK20" s="406"/>
      <c r="FL20" s="485">
        <f t="shared" ca="1" si="39"/>
        <v>3405</v>
      </c>
      <c r="FM20" s="486"/>
      <c r="FN20" s="486"/>
      <c r="FO20" s="489">
        <f t="shared" ca="1" si="40"/>
        <v>1245</v>
      </c>
      <c r="FP20" s="489"/>
      <c r="FQ20" s="489"/>
      <c r="FR20" s="467">
        <f t="shared" ca="1" si="41"/>
        <v>0</v>
      </c>
      <c r="FS20" s="467"/>
      <c r="FT20" s="468"/>
      <c r="FU20" s="428">
        <f t="shared" ca="1" si="15"/>
        <v>1702.5</v>
      </c>
      <c r="FV20" s="429"/>
      <c r="FW20" s="429"/>
      <c r="FX20" s="352">
        <f t="shared" ca="1" si="16"/>
        <v>622.5</v>
      </c>
      <c r="FY20" s="352"/>
      <c r="FZ20" s="352"/>
      <c r="GA20" s="350">
        <f t="shared" ca="1" si="17"/>
        <v>0</v>
      </c>
      <c r="GB20" s="350"/>
      <c r="GC20" s="351"/>
    </row>
    <row r="21" spans="1:185" ht="36" customHeight="1">
      <c r="A21" s="228" t="str">
        <f t="shared" ca="1" si="42"/>
        <v/>
      </c>
      <c r="B21" s="584" t="s">
        <v>9</v>
      </c>
      <c r="C21" s="329"/>
      <c r="D21" s="329"/>
      <c r="E21" s="585"/>
      <c r="F21" s="500"/>
      <c r="G21" s="501"/>
      <c r="H21" s="502"/>
      <c r="I21" s="502"/>
      <c r="J21" s="502"/>
      <c r="K21" s="502"/>
      <c r="L21" s="502"/>
      <c r="M21" s="503"/>
      <c r="N21" s="510"/>
      <c r="O21" s="510"/>
      <c r="P21" s="510"/>
      <c r="Q21" s="510"/>
      <c r="R21" s="510"/>
      <c r="S21" s="509"/>
      <c r="T21" s="510"/>
      <c r="U21" s="510"/>
      <c r="V21" s="510"/>
      <c r="W21" s="511"/>
      <c r="X21" s="510"/>
      <c r="Y21" s="510"/>
      <c r="Z21" s="510"/>
      <c r="AA21" s="510"/>
      <c r="AB21" s="570"/>
      <c r="AC21" s="383"/>
      <c r="AD21" s="384"/>
      <c r="AE21" s="384"/>
      <c r="AF21" s="384"/>
      <c r="AG21" s="384"/>
      <c r="AH21" s="512"/>
      <c r="AI21" s="513"/>
      <c r="AJ21" s="513"/>
      <c r="AK21" s="513"/>
      <c r="AL21" s="514"/>
      <c r="AM21" s="161"/>
      <c r="AU21" s="230">
        <f ca="1">IF($O$4="",IF(ISERROR(DATEVALUE(VLOOKUP(F21,テーブル!$A$2:$B$4,2,FALSE)&amp;H21&amp;"."&amp;J21&amp;"."&amp;L21)),IF(F21="",0,1),IF(DATEVALUE(VLOOKUP(F21,テーブル!$A$2:$B$4,2,FALSE)&amp;H21&amp;"."&amp;J21&amp;"."&amp;L21)&gt;$BK$4,1,0)),1)</f>
        <v>0</v>
      </c>
      <c r="AV21" s="230">
        <f>IF(ISERROR(DATEVALUE(VLOOKUP(F21,テーブル!$A$2:$B$4,2,FALSE)&amp;H21&amp;"."&amp;J21&amp;"."&amp;L21)),IF(F21="",0,1),IF(ROUNDDOWN(YEARFRAC(DATEVALUE(VLOOKUP(F21,テーブル!$A$2:$B$4,2,FALSE)&amp;H21&amp;"."&amp;J21&amp;"."&amp;L21),$AZ$4,1),0)&gt;74,1,0))</f>
        <v>0</v>
      </c>
      <c r="AW21" s="387" t="str">
        <f ca="1">IF(OR(AU21=1,AV21=1),"",IF(ISERROR(DATEVALUE(VLOOKUP(F21,テーブル!$A$2:$B$4,2,FALSE)&amp;H21&amp;"."&amp;J21&amp;"."&amp;L21)),"",IF(DATEVALUE(VLOOKUP(F21,テーブル!$A$2:$B$4,2,FALSE)&amp;H21&amp;"."&amp;J21&amp;"."&amp;L21)&gt;$BK$4,"",DATEVALUE(VLOOKUP(F21,テーブル!$A$2:$B$4,2,FALSE)&amp;H21&amp;"."&amp;J21&amp;"."&amp;L21))))</f>
        <v/>
      </c>
      <c r="AX21" s="387"/>
      <c r="AY21" s="387"/>
      <c r="AZ21" s="373" t="str">
        <f t="shared" ca="1" si="18"/>
        <v/>
      </c>
      <c r="BA21" s="373"/>
      <c r="BB21" s="373" t="str">
        <f ca="1">IF(AW21="","",VLOOKUP(AZ21,テーブル!C:D,2,FALSE))</f>
        <v/>
      </c>
      <c r="BC21" s="373"/>
      <c r="BD21" s="387" t="str">
        <f t="shared" ca="1" si="19"/>
        <v/>
      </c>
      <c r="BE21" s="387"/>
      <c r="BF21" s="390" t="str">
        <f t="shared" ca="1" si="20"/>
        <v/>
      </c>
      <c r="BG21" s="390"/>
      <c r="BH21" s="387" t="str">
        <f t="shared" ca="1" si="21"/>
        <v/>
      </c>
      <c r="BI21" s="387"/>
      <c r="BJ21" s="390" t="str">
        <f t="shared" ca="1" si="22"/>
        <v/>
      </c>
      <c r="BK21" s="390"/>
      <c r="BL21" s="636" t="str">
        <f t="shared" ca="1" si="43"/>
        <v/>
      </c>
      <c r="BM21" s="637"/>
      <c r="BN21" s="390" t="str">
        <f t="shared" ca="1" si="44"/>
        <v/>
      </c>
      <c r="BO21" s="390"/>
      <c r="BP21" s="525" t="str">
        <f t="shared" ca="1" si="23"/>
        <v/>
      </c>
      <c r="BQ21" s="526"/>
      <c r="BR21" s="527"/>
      <c r="BS21" s="525" t="str">
        <f t="shared" ca="1" si="24"/>
        <v/>
      </c>
      <c r="BT21" s="526"/>
      <c r="BU21" s="527"/>
      <c r="BV21" s="390">
        <f t="shared" ca="1" si="45"/>
        <v>0</v>
      </c>
      <c r="BW21" s="390"/>
      <c r="BX21" s="390"/>
      <c r="BY21" s="522">
        <f t="shared" ca="1" si="25"/>
        <v>0</v>
      </c>
      <c r="BZ21" s="523"/>
      <c r="CA21" s="524"/>
      <c r="CB21" s="348">
        <f t="shared" si="26"/>
        <v>0</v>
      </c>
      <c r="CC21" s="348"/>
      <c r="CD21" s="348"/>
      <c r="CE21" s="348">
        <f t="shared" si="27"/>
        <v>0</v>
      </c>
      <c r="CF21" s="348"/>
      <c r="CG21" s="348"/>
      <c r="CH21" s="348">
        <f t="shared" si="28"/>
        <v>0</v>
      </c>
      <c r="CI21" s="348"/>
      <c r="CJ21" s="348"/>
      <c r="CK21" s="373" t="str">
        <f t="shared" ca="1" si="29"/>
        <v/>
      </c>
      <c r="CL21" s="373"/>
      <c r="CM21" s="373" t="str">
        <f ca="1">IF(AW21="","",IF(ISERROR(VLOOKUP(AC21,テーブル!G:H,2,FALSE)),"",VLOOKUP(AC21,テーブル!G:H,2,FALSE)))</f>
        <v/>
      </c>
      <c r="CN21" s="373"/>
      <c r="CO21" s="373" t="str">
        <f ca="1">IF(AW21="","",IF(ISERROR(VLOOKUP(AH21,テーブル!I:J,2,FALSE)),"",VLOOKUP(AH21,テーブル!I:J,2,FALSE)))</f>
        <v/>
      </c>
      <c r="CP21" s="373"/>
      <c r="CQ21" s="373" t="str">
        <f t="shared" ca="1" si="2"/>
        <v/>
      </c>
      <c r="CR21" s="373"/>
      <c r="CS21" s="373" t="str">
        <f t="shared" ca="1" si="3"/>
        <v/>
      </c>
      <c r="CT21" s="373"/>
      <c r="CU21" s="348">
        <f ca="1">所得換算!F106</f>
        <v>0</v>
      </c>
      <c r="CV21" s="348"/>
      <c r="CW21" s="348"/>
      <c r="CX21" s="348">
        <f ca="1">所得換算!F116</f>
        <v>0</v>
      </c>
      <c r="CY21" s="348"/>
      <c r="CZ21" s="349"/>
      <c r="DA21" s="483">
        <f t="shared" ca="1" si="30"/>
        <v>0</v>
      </c>
      <c r="DB21" s="484"/>
      <c r="DC21" s="484"/>
      <c r="DD21" s="491">
        <f t="shared" ca="1" si="31"/>
        <v>0</v>
      </c>
      <c r="DE21" s="491"/>
      <c r="DF21" s="491"/>
      <c r="DG21" s="481">
        <f t="shared" ca="1" si="32"/>
        <v>0</v>
      </c>
      <c r="DH21" s="481"/>
      <c r="DI21" s="482"/>
      <c r="DJ21" s="496">
        <f t="shared" ca="1" si="4"/>
        <v>0</v>
      </c>
      <c r="DK21" s="484"/>
      <c r="DL21" s="484"/>
      <c r="DM21" s="491">
        <f t="shared" ca="1" si="5"/>
        <v>0</v>
      </c>
      <c r="DN21" s="491"/>
      <c r="DO21" s="491"/>
      <c r="DP21" s="481">
        <f t="shared" ca="1" si="6"/>
        <v>0</v>
      </c>
      <c r="DQ21" s="481"/>
      <c r="DR21" s="482"/>
      <c r="DS21" s="459">
        <v>0</v>
      </c>
      <c r="DT21" s="403"/>
      <c r="DU21" s="403"/>
      <c r="DV21" s="404">
        <v>0</v>
      </c>
      <c r="DW21" s="404"/>
      <c r="DX21" s="404"/>
      <c r="DY21" s="405">
        <v>0</v>
      </c>
      <c r="DZ21" s="405"/>
      <c r="EA21" s="406"/>
      <c r="EB21" s="485">
        <f t="shared" ca="1" si="33"/>
        <v>0</v>
      </c>
      <c r="EC21" s="486"/>
      <c r="ED21" s="486"/>
      <c r="EE21" s="489">
        <f t="shared" ca="1" si="34"/>
        <v>0</v>
      </c>
      <c r="EF21" s="489"/>
      <c r="EG21" s="489"/>
      <c r="EH21" s="467">
        <f t="shared" ca="1" si="35"/>
        <v>0</v>
      </c>
      <c r="EI21" s="467"/>
      <c r="EJ21" s="468"/>
      <c r="EK21" s="464">
        <f t="shared" ca="1" si="36"/>
        <v>0</v>
      </c>
      <c r="EL21" s="403"/>
      <c r="EM21" s="403"/>
      <c r="EN21" s="460">
        <f t="shared" ca="1" si="9"/>
        <v>0</v>
      </c>
      <c r="EO21" s="404"/>
      <c r="EP21" s="404"/>
      <c r="EQ21" s="461">
        <f t="shared" ca="1" si="10"/>
        <v>0</v>
      </c>
      <c r="ER21" s="405"/>
      <c r="ES21" s="406"/>
      <c r="ET21" s="459">
        <f t="shared" ca="1" si="37"/>
        <v>0</v>
      </c>
      <c r="EU21" s="403"/>
      <c r="EV21" s="403"/>
      <c r="EW21" s="404">
        <f t="shared" ca="1" si="38"/>
        <v>0</v>
      </c>
      <c r="EX21" s="404"/>
      <c r="EY21" s="404"/>
      <c r="EZ21" s="405">
        <f t="shared" ca="1" si="11"/>
        <v>0</v>
      </c>
      <c r="FA21" s="405"/>
      <c r="FB21" s="406"/>
      <c r="FC21" s="402">
        <f t="shared" ca="1" si="12"/>
        <v>0</v>
      </c>
      <c r="FD21" s="403"/>
      <c r="FE21" s="403"/>
      <c r="FF21" s="404">
        <f t="shared" ca="1" si="13"/>
        <v>0</v>
      </c>
      <c r="FG21" s="404"/>
      <c r="FH21" s="404"/>
      <c r="FI21" s="405">
        <f t="shared" ca="1" si="14"/>
        <v>0</v>
      </c>
      <c r="FJ21" s="405"/>
      <c r="FK21" s="406"/>
      <c r="FL21" s="485">
        <f t="shared" ca="1" si="39"/>
        <v>0</v>
      </c>
      <c r="FM21" s="486"/>
      <c r="FN21" s="486"/>
      <c r="FO21" s="489">
        <f t="shared" ca="1" si="40"/>
        <v>0</v>
      </c>
      <c r="FP21" s="489"/>
      <c r="FQ21" s="489"/>
      <c r="FR21" s="467">
        <f t="shared" ca="1" si="41"/>
        <v>0</v>
      </c>
      <c r="FS21" s="467"/>
      <c r="FT21" s="468"/>
      <c r="FU21" s="428">
        <f t="shared" ca="1" si="15"/>
        <v>0</v>
      </c>
      <c r="FV21" s="429"/>
      <c r="FW21" s="429"/>
      <c r="FX21" s="352">
        <f t="shared" ca="1" si="16"/>
        <v>0</v>
      </c>
      <c r="FY21" s="352"/>
      <c r="FZ21" s="352"/>
      <c r="GA21" s="350">
        <f t="shared" ca="1" si="17"/>
        <v>0</v>
      </c>
      <c r="GB21" s="350"/>
      <c r="GC21" s="351"/>
    </row>
    <row r="22" spans="1:185" ht="36" customHeight="1">
      <c r="A22" s="228" t="str">
        <f t="shared" ca="1" si="42"/>
        <v/>
      </c>
      <c r="B22" s="584" t="s">
        <v>10</v>
      </c>
      <c r="C22" s="329"/>
      <c r="D22" s="329"/>
      <c r="E22" s="585"/>
      <c r="F22" s="500"/>
      <c r="G22" s="501"/>
      <c r="H22" s="502"/>
      <c r="I22" s="502"/>
      <c r="J22" s="502"/>
      <c r="K22" s="502"/>
      <c r="L22" s="502"/>
      <c r="M22" s="503"/>
      <c r="N22" s="510"/>
      <c r="O22" s="510"/>
      <c r="P22" s="510"/>
      <c r="Q22" s="510"/>
      <c r="R22" s="510"/>
      <c r="S22" s="509"/>
      <c r="T22" s="510"/>
      <c r="U22" s="510"/>
      <c r="V22" s="510"/>
      <c r="W22" s="511"/>
      <c r="X22" s="510"/>
      <c r="Y22" s="510"/>
      <c r="Z22" s="510"/>
      <c r="AA22" s="510"/>
      <c r="AB22" s="570"/>
      <c r="AC22" s="383"/>
      <c r="AD22" s="384"/>
      <c r="AE22" s="384"/>
      <c r="AF22" s="384"/>
      <c r="AG22" s="384"/>
      <c r="AH22" s="512"/>
      <c r="AI22" s="513"/>
      <c r="AJ22" s="513"/>
      <c r="AK22" s="513"/>
      <c r="AL22" s="514"/>
      <c r="AM22" s="161"/>
      <c r="AU22" s="230">
        <f ca="1">IF($O$4="",IF(ISERROR(DATEVALUE(VLOOKUP(F22,テーブル!$A$2:$B$4,2,FALSE)&amp;H22&amp;"."&amp;J22&amp;"."&amp;L22)),IF(F22="",0,1),IF(DATEVALUE(VLOOKUP(F22,テーブル!$A$2:$B$4,2,FALSE)&amp;H22&amp;"."&amp;J22&amp;"."&amp;L22)&gt;$BK$4,1,0)),1)</f>
        <v>0</v>
      </c>
      <c r="AV22" s="230">
        <f>IF(ISERROR(DATEVALUE(VLOOKUP(F22,テーブル!$A$2:$B$4,2,FALSE)&amp;H22&amp;"."&amp;J22&amp;"."&amp;L22)),IF(F22="",0,1),IF(ROUNDDOWN(YEARFRAC(DATEVALUE(VLOOKUP(F22,テーブル!$A$2:$B$4,2,FALSE)&amp;H22&amp;"."&amp;J22&amp;"."&amp;L22),$AZ$4,1),0)&gt;74,1,0))</f>
        <v>0</v>
      </c>
      <c r="AW22" s="387" t="str">
        <f ca="1">IF(OR(AU22=1,AV22=1),"",IF(ISERROR(DATEVALUE(VLOOKUP(F22,テーブル!$A$2:$B$4,2,FALSE)&amp;H22&amp;"."&amp;J22&amp;"."&amp;L22)),"",IF(DATEVALUE(VLOOKUP(F22,テーブル!$A$2:$B$4,2,FALSE)&amp;H22&amp;"."&amp;J22&amp;"."&amp;L22)&gt;$BK$4,"",DATEVALUE(VLOOKUP(F22,テーブル!$A$2:$B$4,2,FALSE)&amp;H22&amp;"."&amp;J22&amp;"."&amp;L22))))</f>
        <v/>
      </c>
      <c r="AX22" s="387"/>
      <c r="AY22" s="387"/>
      <c r="AZ22" s="373" t="str">
        <f t="shared" ca="1" si="18"/>
        <v/>
      </c>
      <c r="BA22" s="373"/>
      <c r="BB22" s="373" t="str">
        <f ca="1">IF(AW22="","",VLOOKUP(AZ22,テーブル!C:D,2,FALSE))</f>
        <v/>
      </c>
      <c r="BC22" s="373"/>
      <c r="BD22" s="387" t="str">
        <f t="shared" ca="1" si="19"/>
        <v/>
      </c>
      <c r="BE22" s="387"/>
      <c r="BF22" s="390" t="str">
        <f t="shared" ca="1" si="20"/>
        <v/>
      </c>
      <c r="BG22" s="390"/>
      <c r="BH22" s="387" t="str">
        <f t="shared" ca="1" si="21"/>
        <v/>
      </c>
      <c r="BI22" s="387"/>
      <c r="BJ22" s="390" t="str">
        <f t="shared" ca="1" si="22"/>
        <v/>
      </c>
      <c r="BK22" s="390"/>
      <c r="BL22" s="636" t="str">
        <f t="shared" ca="1" si="43"/>
        <v/>
      </c>
      <c r="BM22" s="637"/>
      <c r="BN22" s="390" t="str">
        <f t="shared" ca="1" si="44"/>
        <v/>
      </c>
      <c r="BO22" s="390"/>
      <c r="BP22" s="525" t="str">
        <f t="shared" ca="1" si="23"/>
        <v/>
      </c>
      <c r="BQ22" s="526"/>
      <c r="BR22" s="527"/>
      <c r="BS22" s="525" t="str">
        <f t="shared" ca="1" si="24"/>
        <v/>
      </c>
      <c r="BT22" s="526"/>
      <c r="BU22" s="527"/>
      <c r="BV22" s="390">
        <f t="shared" ca="1" si="45"/>
        <v>0</v>
      </c>
      <c r="BW22" s="390"/>
      <c r="BX22" s="390"/>
      <c r="BY22" s="522">
        <f t="shared" ca="1" si="25"/>
        <v>0</v>
      </c>
      <c r="BZ22" s="523"/>
      <c r="CA22" s="524"/>
      <c r="CB22" s="348">
        <f t="shared" si="26"/>
        <v>0</v>
      </c>
      <c r="CC22" s="348"/>
      <c r="CD22" s="348"/>
      <c r="CE22" s="348">
        <f t="shared" si="27"/>
        <v>0</v>
      </c>
      <c r="CF22" s="348"/>
      <c r="CG22" s="348"/>
      <c r="CH22" s="348">
        <f t="shared" si="28"/>
        <v>0</v>
      </c>
      <c r="CI22" s="348"/>
      <c r="CJ22" s="348"/>
      <c r="CK22" s="373" t="str">
        <f t="shared" ca="1" si="29"/>
        <v/>
      </c>
      <c r="CL22" s="373"/>
      <c r="CM22" s="373" t="str">
        <f ca="1">IF(AW22="","",IF(ISERROR(VLOOKUP(AC22,テーブル!G:H,2,FALSE)),"",VLOOKUP(AC22,テーブル!G:H,2,FALSE)))</f>
        <v/>
      </c>
      <c r="CN22" s="373"/>
      <c r="CO22" s="373" t="str">
        <f ca="1">IF(AW22="","",IF(ISERROR(VLOOKUP(AH22,テーブル!I:J,2,FALSE)),"",VLOOKUP(AH22,テーブル!I:J,2,FALSE)))</f>
        <v/>
      </c>
      <c r="CP22" s="373"/>
      <c r="CQ22" s="373" t="str">
        <f t="shared" ca="1" si="2"/>
        <v/>
      </c>
      <c r="CR22" s="373"/>
      <c r="CS22" s="373" t="str">
        <f t="shared" ca="1" si="3"/>
        <v/>
      </c>
      <c r="CT22" s="373"/>
      <c r="CU22" s="348">
        <f ca="1">所得換算!F107</f>
        <v>0</v>
      </c>
      <c r="CV22" s="348"/>
      <c r="CW22" s="348"/>
      <c r="CX22" s="348">
        <f ca="1">所得換算!F117</f>
        <v>0</v>
      </c>
      <c r="CY22" s="348"/>
      <c r="CZ22" s="349"/>
      <c r="DA22" s="483">
        <f t="shared" ca="1" si="30"/>
        <v>0</v>
      </c>
      <c r="DB22" s="484"/>
      <c r="DC22" s="484"/>
      <c r="DD22" s="491">
        <f t="shared" ca="1" si="31"/>
        <v>0</v>
      </c>
      <c r="DE22" s="491"/>
      <c r="DF22" s="491"/>
      <c r="DG22" s="481">
        <f t="shared" ca="1" si="32"/>
        <v>0</v>
      </c>
      <c r="DH22" s="481"/>
      <c r="DI22" s="482"/>
      <c r="DJ22" s="496">
        <f t="shared" ca="1" si="4"/>
        <v>0</v>
      </c>
      <c r="DK22" s="484"/>
      <c r="DL22" s="484"/>
      <c r="DM22" s="491">
        <f t="shared" ca="1" si="5"/>
        <v>0</v>
      </c>
      <c r="DN22" s="491"/>
      <c r="DO22" s="491"/>
      <c r="DP22" s="481">
        <f t="shared" ca="1" si="6"/>
        <v>0</v>
      </c>
      <c r="DQ22" s="481"/>
      <c r="DR22" s="482"/>
      <c r="DS22" s="459">
        <v>0</v>
      </c>
      <c r="DT22" s="403"/>
      <c r="DU22" s="403"/>
      <c r="DV22" s="404">
        <v>0</v>
      </c>
      <c r="DW22" s="404"/>
      <c r="DX22" s="404"/>
      <c r="DY22" s="405">
        <v>0</v>
      </c>
      <c r="DZ22" s="405"/>
      <c r="EA22" s="406"/>
      <c r="EB22" s="485">
        <f t="shared" ca="1" si="33"/>
        <v>0</v>
      </c>
      <c r="EC22" s="486"/>
      <c r="ED22" s="486"/>
      <c r="EE22" s="489">
        <f t="shared" ca="1" si="34"/>
        <v>0</v>
      </c>
      <c r="EF22" s="489"/>
      <c r="EG22" s="489"/>
      <c r="EH22" s="467">
        <f t="shared" ca="1" si="35"/>
        <v>0</v>
      </c>
      <c r="EI22" s="467"/>
      <c r="EJ22" s="468"/>
      <c r="EK22" s="464">
        <f t="shared" ca="1" si="36"/>
        <v>0</v>
      </c>
      <c r="EL22" s="403"/>
      <c r="EM22" s="403"/>
      <c r="EN22" s="460">
        <f t="shared" ca="1" si="9"/>
        <v>0</v>
      </c>
      <c r="EO22" s="404"/>
      <c r="EP22" s="404"/>
      <c r="EQ22" s="461">
        <f t="shared" ca="1" si="10"/>
        <v>0</v>
      </c>
      <c r="ER22" s="405"/>
      <c r="ES22" s="406"/>
      <c r="ET22" s="459">
        <f t="shared" ca="1" si="37"/>
        <v>0</v>
      </c>
      <c r="EU22" s="403"/>
      <c r="EV22" s="403"/>
      <c r="EW22" s="404">
        <f t="shared" ca="1" si="38"/>
        <v>0</v>
      </c>
      <c r="EX22" s="404"/>
      <c r="EY22" s="404"/>
      <c r="EZ22" s="405">
        <f t="shared" ca="1" si="11"/>
        <v>0</v>
      </c>
      <c r="FA22" s="405"/>
      <c r="FB22" s="406"/>
      <c r="FC22" s="402">
        <f t="shared" ca="1" si="12"/>
        <v>0</v>
      </c>
      <c r="FD22" s="403"/>
      <c r="FE22" s="403"/>
      <c r="FF22" s="404">
        <f t="shared" ca="1" si="13"/>
        <v>0</v>
      </c>
      <c r="FG22" s="404"/>
      <c r="FH22" s="404"/>
      <c r="FI22" s="405">
        <f t="shared" ca="1" si="14"/>
        <v>0</v>
      </c>
      <c r="FJ22" s="405"/>
      <c r="FK22" s="406"/>
      <c r="FL22" s="485">
        <f t="shared" ca="1" si="39"/>
        <v>0</v>
      </c>
      <c r="FM22" s="486"/>
      <c r="FN22" s="486"/>
      <c r="FO22" s="489">
        <f t="shared" ca="1" si="40"/>
        <v>0</v>
      </c>
      <c r="FP22" s="489"/>
      <c r="FQ22" s="489"/>
      <c r="FR22" s="467">
        <f t="shared" ca="1" si="41"/>
        <v>0</v>
      </c>
      <c r="FS22" s="467"/>
      <c r="FT22" s="468"/>
      <c r="FU22" s="428">
        <f t="shared" ca="1" si="15"/>
        <v>0</v>
      </c>
      <c r="FV22" s="429"/>
      <c r="FW22" s="429"/>
      <c r="FX22" s="352">
        <f t="shared" ca="1" si="16"/>
        <v>0</v>
      </c>
      <c r="FY22" s="352"/>
      <c r="FZ22" s="352"/>
      <c r="GA22" s="350">
        <f t="shared" ca="1" si="17"/>
        <v>0</v>
      </c>
      <c r="GB22" s="350"/>
      <c r="GC22" s="351"/>
    </row>
    <row r="23" spans="1:185" ht="36" customHeight="1" thickBot="1">
      <c r="A23" s="228" t="str">
        <f t="shared" ca="1" si="42"/>
        <v/>
      </c>
      <c r="B23" s="586" t="s">
        <v>11</v>
      </c>
      <c r="C23" s="587"/>
      <c r="D23" s="587"/>
      <c r="E23" s="588"/>
      <c r="F23" s="564"/>
      <c r="G23" s="565"/>
      <c r="H23" s="566"/>
      <c r="I23" s="566"/>
      <c r="J23" s="566"/>
      <c r="K23" s="566"/>
      <c r="L23" s="566"/>
      <c r="M23" s="567"/>
      <c r="N23" s="544"/>
      <c r="O23" s="544"/>
      <c r="P23" s="544"/>
      <c r="Q23" s="544"/>
      <c r="R23" s="544"/>
      <c r="S23" s="568"/>
      <c r="T23" s="544"/>
      <c r="U23" s="544"/>
      <c r="V23" s="544"/>
      <c r="W23" s="569"/>
      <c r="X23" s="544"/>
      <c r="Y23" s="544"/>
      <c r="Z23" s="544"/>
      <c r="AA23" s="544"/>
      <c r="AB23" s="545"/>
      <c r="AC23" s="385"/>
      <c r="AD23" s="386"/>
      <c r="AE23" s="386"/>
      <c r="AF23" s="386"/>
      <c r="AG23" s="386"/>
      <c r="AH23" s="515"/>
      <c r="AI23" s="516"/>
      <c r="AJ23" s="516"/>
      <c r="AK23" s="516"/>
      <c r="AL23" s="517"/>
      <c r="AM23" s="161"/>
      <c r="AU23" s="230">
        <f ca="1">IF($O$4="",IF(ISERROR(DATEVALUE(VLOOKUP(F23,テーブル!$A$2:$B$4,2,FALSE)&amp;H23&amp;"."&amp;J23&amp;"."&amp;L23)),IF(F23="",0,1),IF(DATEVALUE(VLOOKUP(F23,テーブル!$A$2:$B$4,2,FALSE)&amp;H23&amp;"."&amp;J23&amp;"."&amp;L23)&gt;$BK$4,1,0)),1)</f>
        <v>0</v>
      </c>
      <c r="AV23" s="230">
        <f>IF(ISERROR(DATEVALUE(VLOOKUP(F23,テーブル!$A$2:$B$4,2,FALSE)&amp;H23&amp;"."&amp;J23&amp;"."&amp;L23)),IF(F23="",0,1),IF(ROUNDDOWN(YEARFRAC(DATEVALUE(VLOOKUP(F23,テーブル!$A$2:$B$4,2,FALSE)&amp;H23&amp;"."&amp;J23&amp;"."&amp;L23),$AZ$4,1),0)&gt;74,1,0))</f>
        <v>0</v>
      </c>
      <c r="AW23" s="387" t="str">
        <f ca="1">IF(OR(AU23=1,AV23=1),"",IF(ISERROR(DATEVALUE(VLOOKUP(F23,テーブル!$A$2:$B$4,2,FALSE)&amp;H23&amp;"."&amp;J23&amp;"."&amp;L23)),"",IF(DATEVALUE(VLOOKUP(F23,テーブル!$A$2:$B$4,2,FALSE)&amp;H23&amp;"."&amp;J23&amp;"."&amp;L23)&gt;$BK$4,"",DATEVALUE(VLOOKUP(F23,テーブル!$A$2:$B$4,2,FALSE)&amp;H23&amp;"."&amp;J23&amp;"."&amp;L23))))</f>
        <v/>
      </c>
      <c r="AX23" s="387"/>
      <c r="AY23" s="387"/>
      <c r="AZ23" s="373" t="str">
        <f t="shared" ca="1" si="18"/>
        <v/>
      </c>
      <c r="BA23" s="373"/>
      <c r="BB23" s="373" t="str">
        <f ca="1">IF(AW23="","",VLOOKUP(AZ23,テーブル!C:D,2,FALSE))</f>
        <v/>
      </c>
      <c r="BC23" s="373"/>
      <c r="BD23" s="387" t="str">
        <f t="shared" ca="1" si="19"/>
        <v/>
      </c>
      <c r="BE23" s="387"/>
      <c r="BF23" s="390" t="str">
        <f t="shared" ca="1" si="20"/>
        <v/>
      </c>
      <c r="BG23" s="390"/>
      <c r="BH23" s="387" t="str">
        <f t="shared" ca="1" si="21"/>
        <v/>
      </c>
      <c r="BI23" s="387"/>
      <c r="BJ23" s="390" t="str">
        <f t="shared" ca="1" si="22"/>
        <v/>
      </c>
      <c r="BK23" s="390"/>
      <c r="BL23" s="636" t="str">
        <f t="shared" ca="1" si="43"/>
        <v/>
      </c>
      <c r="BM23" s="637"/>
      <c r="BN23" s="390" t="str">
        <f t="shared" ca="1" si="44"/>
        <v/>
      </c>
      <c r="BO23" s="390"/>
      <c r="BP23" s="525" t="str">
        <f t="shared" ca="1" si="23"/>
        <v/>
      </c>
      <c r="BQ23" s="526"/>
      <c r="BR23" s="527"/>
      <c r="BS23" s="525" t="str">
        <f t="shared" ca="1" si="24"/>
        <v/>
      </c>
      <c r="BT23" s="526"/>
      <c r="BU23" s="527"/>
      <c r="BV23" s="390">
        <f t="shared" ca="1" si="45"/>
        <v>0</v>
      </c>
      <c r="BW23" s="390"/>
      <c r="BX23" s="390"/>
      <c r="BY23" s="522">
        <f t="shared" ca="1" si="25"/>
        <v>0</v>
      </c>
      <c r="BZ23" s="523"/>
      <c r="CA23" s="524"/>
      <c r="CB23" s="348">
        <f t="shared" si="26"/>
        <v>0</v>
      </c>
      <c r="CC23" s="348"/>
      <c r="CD23" s="348"/>
      <c r="CE23" s="348">
        <f t="shared" si="27"/>
        <v>0</v>
      </c>
      <c r="CF23" s="348"/>
      <c r="CG23" s="348"/>
      <c r="CH23" s="348">
        <f t="shared" si="28"/>
        <v>0</v>
      </c>
      <c r="CI23" s="348"/>
      <c r="CJ23" s="348"/>
      <c r="CK23" s="373" t="str">
        <f t="shared" ca="1" si="29"/>
        <v/>
      </c>
      <c r="CL23" s="373"/>
      <c r="CM23" s="373" t="str">
        <f ca="1">IF(AW23="","",IF(ISERROR(VLOOKUP(AC23,テーブル!G:H,2,FALSE)),"",VLOOKUP(AC23,テーブル!G:H,2,FALSE)))</f>
        <v/>
      </c>
      <c r="CN23" s="373"/>
      <c r="CO23" s="419" t="str">
        <f ca="1">IF(AW23="","",IF(ISERROR(VLOOKUP(AH23,テーブル!I:J,2,FALSE)),"",VLOOKUP(AH23,テーブル!I:J,2,FALSE)))</f>
        <v/>
      </c>
      <c r="CP23" s="419"/>
      <c r="CQ23" s="419" t="str">
        <f t="shared" ca="1" si="2"/>
        <v/>
      </c>
      <c r="CR23" s="419"/>
      <c r="CS23" s="419" t="str">
        <f t="shared" ca="1" si="3"/>
        <v/>
      </c>
      <c r="CT23" s="419"/>
      <c r="CU23" s="347">
        <f ca="1">所得換算!F108</f>
        <v>0</v>
      </c>
      <c r="CV23" s="347"/>
      <c r="CW23" s="347"/>
      <c r="CX23" s="347">
        <f ca="1">所得換算!F118</f>
        <v>0</v>
      </c>
      <c r="CY23" s="347"/>
      <c r="CZ23" s="497"/>
      <c r="DA23" s="483">
        <f t="shared" ca="1" si="30"/>
        <v>0</v>
      </c>
      <c r="DB23" s="484"/>
      <c r="DC23" s="484"/>
      <c r="DD23" s="491">
        <f t="shared" ca="1" si="31"/>
        <v>0</v>
      </c>
      <c r="DE23" s="491"/>
      <c r="DF23" s="491"/>
      <c r="DG23" s="481">
        <f t="shared" ca="1" si="32"/>
        <v>0</v>
      </c>
      <c r="DH23" s="481"/>
      <c r="DI23" s="482"/>
      <c r="DJ23" s="680">
        <f t="shared" ca="1" si="4"/>
        <v>0</v>
      </c>
      <c r="DK23" s="681"/>
      <c r="DL23" s="681"/>
      <c r="DM23" s="682">
        <f t="shared" ca="1" si="5"/>
        <v>0</v>
      </c>
      <c r="DN23" s="682"/>
      <c r="DO23" s="682"/>
      <c r="DP23" s="494">
        <f t="shared" ca="1" si="6"/>
        <v>0</v>
      </c>
      <c r="DQ23" s="494"/>
      <c r="DR23" s="495"/>
      <c r="DS23" s="476">
        <v>0</v>
      </c>
      <c r="DT23" s="453"/>
      <c r="DU23" s="453"/>
      <c r="DV23" s="454">
        <v>0</v>
      </c>
      <c r="DW23" s="454"/>
      <c r="DX23" s="454"/>
      <c r="DY23" s="450">
        <v>0</v>
      </c>
      <c r="DZ23" s="450"/>
      <c r="EA23" s="451"/>
      <c r="EB23" s="487">
        <f t="shared" ca="1" si="33"/>
        <v>0</v>
      </c>
      <c r="EC23" s="488"/>
      <c r="ED23" s="488"/>
      <c r="EE23" s="490">
        <f t="shared" ca="1" si="34"/>
        <v>0</v>
      </c>
      <c r="EF23" s="490"/>
      <c r="EG23" s="490"/>
      <c r="EH23" s="469">
        <f t="shared" ca="1" si="35"/>
        <v>0</v>
      </c>
      <c r="EI23" s="469"/>
      <c r="EJ23" s="470"/>
      <c r="EK23" s="466">
        <f t="shared" ca="1" si="36"/>
        <v>0</v>
      </c>
      <c r="EL23" s="453"/>
      <c r="EM23" s="453"/>
      <c r="EN23" s="456">
        <f t="shared" ca="1" si="9"/>
        <v>0</v>
      </c>
      <c r="EO23" s="454"/>
      <c r="EP23" s="454"/>
      <c r="EQ23" s="457">
        <f t="shared" ca="1" si="10"/>
        <v>0</v>
      </c>
      <c r="ER23" s="450"/>
      <c r="ES23" s="451"/>
      <c r="ET23" s="459">
        <f t="shared" ca="1" si="37"/>
        <v>0</v>
      </c>
      <c r="EU23" s="403"/>
      <c r="EV23" s="403"/>
      <c r="EW23" s="404">
        <f t="shared" ca="1" si="38"/>
        <v>0</v>
      </c>
      <c r="EX23" s="404"/>
      <c r="EY23" s="404"/>
      <c r="EZ23" s="450">
        <f t="shared" ca="1" si="11"/>
        <v>0</v>
      </c>
      <c r="FA23" s="450"/>
      <c r="FB23" s="451"/>
      <c r="FC23" s="452">
        <f t="shared" ca="1" si="12"/>
        <v>0</v>
      </c>
      <c r="FD23" s="453"/>
      <c r="FE23" s="453"/>
      <c r="FF23" s="454">
        <f t="shared" ca="1" si="13"/>
        <v>0</v>
      </c>
      <c r="FG23" s="454"/>
      <c r="FH23" s="454"/>
      <c r="FI23" s="450">
        <f t="shared" ca="1" si="14"/>
        <v>0</v>
      </c>
      <c r="FJ23" s="450"/>
      <c r="FK23" s="451"/>
      <c r="FL23" s="487">
        <f t="shared" ca="1" si="39"/>
        <v>0</v>
      </c>
      <c r="FM23" s="488"/>
      <c r="FN23" s="488"/>
      <c r="FO23" s="490">
        <f t="shared" ca="1" si="40"/>
        <v>0</v>
      </c>
      <c r="FP23" s="490"/>
      <c r="FQ23" s="490"/>
      <c r="FR23" s="469">
        <f t="shared" ca="1" si="41"/>
        <v>0</v>
      </c>
      <c r="FS23" s="469"/>
      <c r="FT23" s="470"/>
      <c r="FU23" s="428">
        <f t="shared" ca="1" si="15"/>
        <v>0</v>
      </c>
      <c r="FV23" s="429"/>
      <c r="FW23" s="429"/>
      <c r="FX23" s="352">
        <f t="shared" ca="1" si="16"/>
        <v>0</v>
      </c>
      <c r="FY23" s="352"/>
      <c r="FZ23" s="352"/>
      <c r="GA23" s="350">
        <f t="shared" ca="1" si="17"/>
        <v>0</v>
      </c>
      <c r="GB23" s="350"/>
      <c r="GC23" s="351"/>
    </row>
    <row r="24" spans="1:185" ht="24.75" thickBot="1">
      <c r="A24" s="158"/>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1"/>
      <c r="AU24" s="230">
        <f ca="1">SUM(AU17:AU23)+AU9</f>
        <v>0</v>
      </c>
      <c r="AV24" s="230">
        <f>SUM(AV17:AV23)+AV9</f>
        <v>0</v>
      </c>
      <c r="AW24" s="373">
        <f ca="1">AU24+AV24</f>
        <v>0</v>
      </c>
      <c r="AX24" s="373"/>
      <c r="AY24" s="373"/>
      <c r="AZ24" s="373">
        <f ca="1">IF(AU24&gt;0,3,IF(AV24&gt;0,2,1))</f>
        <v>1</v>
      </c>
      <c r="BA24" s="373"/>
      <c r="BB24" s="216"/>
      <c r="BC24" s="216"/>
      <c r="BD24" s="216"/>
      <c r="BE24" s="216"/>
      <c r="BF24" s="217"/>
      <c r="BG24" s="217"/>
      <c r="BH24" s="218"/>
      <c r="BI24" s="218"/>
      <c r="BJ24" s="219"/>
      <c r="BK24" s="219"/>
      <c r="BL24" s="218"/>
      <c r="BM24" s="218"/>
      <c r="BN24" s="218"/>
      <c r="BO24" s="218"/>
      <c r="BP24" s="346">
        <f ca="1">MONTH(MIN(BP17:BR23))</f>
        <v>1</v>
      </c>
      <c r="BQ24" s="346"/>
      <c r="BR24" s="346"/>
      <c r="BS24" s="346">
        <f ca="1">MONTH(MAX(BS17:BU23))</f>
        <v>1</v>
      </c>
      <c r="BT24" s="346"/>
      <c r="BU24" s="346"/>
      <c r="BV24" s="390">
        <f ca="1">IF(BP24=BS24,0,IF(BS24&lt;4,BS24+12,BS24)-BP24+1)</f>
        <v>0</v>
      </c>
      <c r="BW24" s="390"/>
      <c r="BX24" s="390"/>
      <c r="BY24" s="390">
        <f ca="1">MAX(BY17:CA23)</f>
        <v>6</v>
      </c>
      <c r="BZ24" s="390"/>
      <c r="CA24" s="390"/>
      <c r="CB24" s="216"/>
      <c r="CC24" s="216"/>
      <c r="CD24" s="216"/>
      <c r="CE24" s="216"/>
      <c r="CF24" s="216"/>
      <c r="CG24" s="216"/>
      <c r="CH24" s="216"/>
      <c r="CI24" s="216"/>
      <c r="CJ24" s="216"/>
      <c r="CK24" s="216"/>
      <c r="CL24" s="216"/>
      <c r="CM24" s="216"/>
      <c r="CN24" s="216"/>
      <c r="CO24" s="417" t="s">
        <v>237</v>
      </c>
      <c r="CP24" s="418"/>
      <c r="CQ24" s="499">
        <f ca="1">COUNT(CQ17:CR23)</f>
        <v>4</v>
      </c>
      <c r="CR24" s="499"/>
      <c r="CS24" s="499">
        <f ca="1">IF(COUNT(CS17:CT23)+COUNT(BR9)-1&gt;0,COUNT(CS17:CT23)+COUNT(BR9)-1,0)</f>
        <v>2</v>
      </c>
      <c r="CT24" s="499"/>
      <c r="CU24" s="388"/>
      <c r="CV24" s="388"/>
      <c r="CW24" s="388"/>
      <c r="CX24" s="388"/>
      <c r="CY24" s="388"/>
      <c r="CZ24" s="389"/>
      <c r="DA24" s="478">
        <f ca="1">SUM(DA17:DC23)</f>
        <v>0</v>
      </c>
      <c r="DB24" s="474"/>
      <c r="DC24" s="474"/>
      <c r="DD24" s="475">
        <f t="shared" ref="DD24" ca="1" si="46">SUM(DD17:DF23)</f>
        <v>0</v>
      </c>
      <c r="DE24" s="475"/>
      <c r="DF24" s="475"/>
      <c r="DG24" s="471">
        <f t="shared" ref="DG24" ca="1" si="47">SUM(DG17:DI23)</f>
        <v>0</v>
      </c>
      <c r="DH24" s="471"/>
      <c r="DI24" s="472"/>
      <c r="DJ24" s="473">
        <f t="shared" ref="DJ24" ca="1" si="48">SUM(DJ17:DL23)</f>
        <v>90800</v>
      </c>
      <c r="DK24" s="474"/>
      <c r="DL24" s="474"/>
      <c r="DM24" s="475">
        <f t="shared" ref="DM24" ca="1" si="49">SUM(DM17:DO23)</f>
        <v>33200</v>
      </c>
      <c r="DN24" s="475"/>
      <c r="DO24" s="475"/>
      <c r="DP24" s="471">
        <f t="shared" ref="DP24" ca="1" si="50">SUM(DP17:DR23)</f>
        <v>0</v>
      </c>
      <c r="DQ24" s="471"/>
      <c r="DR24" s="472"/>
      <c r="DS24" s="473">
        <f t="shared" ref="DS24" si="51">SUM(DS17:DU23)</f>
        <v>21400</v>
      </c>
      <c r="DT24" s="474"/>
      <c r="DU24" s="474"/>
      <c r="DV24" s="475">
        <f t="shared" ref="DV24" si="52">SUM(DV17:DX23)</f>
        <v>6000</v>
      </c>
      <c r="DW24" s="475"/>
      <c r="DX24" s="475"/>
      <c r="DY24" s="471">
        <f t="shared" ref="DY24" ca="1" si="53">SUM(DY17:EA23)</f>
        <v>0</v>
      </c>
      <c r="DZ24" s="471"/>
      <c r="EA24" s="472"/>
      <c r="EB24" s="448">
        <f ca="1">SUM(EB17:ED23)</f>
        <v>112200</v>
      </c>
      <c r="EC24" s="444"/>
      <c r="ED24" s="444"/>
      <c r="EE24" s="445">
        <f ca="1">SUM(EE17:EG23)</f>
        <v>39200</v>
      </c>
      <c r="EF24" s="445"/>
      <c r="EG24" s="445"/>
      <c r="EH24" s="446">
        <f ca="1">SUM(EH17:EJ23)</f>
        <v>0</v>
      </c>
      <c r="EI24" s="446"/>
      <c r="EJ24" s="449"/>
      <c r="EK24" s="458">
        <f t="shared" ref="EK24" ca="1" si="54">SUM(EK17:EM23)</f>
        <v>0</v>
      </c>
      <c r="EL24" s="444"/>
      <c r="EM24" s="444"/>
      <c r="EN24" s="445">
        <f t="shared" ref="EN24" ca="1" si="55">SUM(EN17:EP23)</f>
        <v>0</v>
      </c>
      <c r="EO24" s="445"/>
      <c r="EP24" s="445"/>
      <c r="EQ24" s="446">
        <f t="shared" ref="EQ24" ca="1" si="56">SUM(EQ17:ES23)</f>
        <v>0</v>
      </c>
      <c r="ER24" s="446"/>
      <c r="ES24" s="447"/>
      <c r="ET24" s="443">
        <f t="shared" ref="ET24" ca="1" si="57">SUM(ET17:EV23)</f>
        <v>23835</v>
      </c>
      <c r="EU24" s="444"/>
      <c r="EV24" s="444"/>
      <c r="EW24" s="445">
        <f t="shared" ref="EW24" ca="1" si="58">SUM(EW17:EY23)</f>
        <v>8715</v>
      </c>
      <c r="EX24" s="445"/>
      <c r="EY24" s="445"/>
      <c r="EZ24" s="446">
        <f t="shared" ref="EZ24" ca="1" si="59">SUM(EZ17:FB23)</f>
        <v>0</v>
      </c>
      <c r="FA24" s="446"/>
      <c r="FB24" s="447"/>
      <c r="FC24" s="448">
        <f t="shared" ref="FC24" ca="1" si="60">SUM(FC17:FE23)</f>
        <v>6420</v>
      </c>
      <c r="FD24" s="444"/>
      <c r="FE24" s="444"/>
      <c r="FF24" s="445">
        <f t="shared" ref="FF24" ca="1" si="61">SUM(FF17:FH23)</f>
        <v>1800</v>
      </c>
      <c r="FG24" s="445"/>
      <c r="FH24" s="445"/>
      <c r="FI24" s="446">
        <f t="shared" ref="FI24" ca="1" si="62">SUM(FI17:FK23)</f>
        <v>0</v>
      </c>
      <c r="FJ24" s="446"/>
      <c r="FK24" s="447"/>
      <c r="FL24" s="448">
        <f ca="1">IF(SUM(FL17:FN23)&gt;CI14,CI14,SUM(FL17:FN23))</f>
        <v>30255</v>
      </c>
      <c r="FM24" s="444"/>
      <c r="FN24" s="444"/>
      <c r="FO24" s="445">
        <f ca="1">IF(SUM(FO17:FQ23)&gt;CL14,CL14,SUM(FO17:FQ23))</f>
        <v>10515</v>
      </c>
      <c r="FP24" s="445"/>
      <c r="FQ24" s="445"/>
      <c r="FR24" s="446">
        <f ca="1">IF(SUM(FR17:FT23)&gt;CO14,CO14,SUM(FR17:FT23))</f>
        <v>0</v>
      </c>
      <c r="FS24" s="446"/>
      <c r="FT24" s="449"/>
      <c r="FU24" s="353">
        <f ca="1">IF(SUM(FL17:FN23)&gt;CI14,CI14/$BQ$4,SUM(FU17:FW23))</f>
        <v>15127.5</v>
      </c>
      <c r="FV24" s="354"/>
      <c r="FW24" s="354"/>
      <c r="FX24" s="355">
        <f ca="1">IF(SUM(FO17:FQ23)&gt;CL14,CL14/$BQ$4,SUM(FX17:FZ23))</f>
        <v>5257.5</v>
      </c>
      <c r="FY24" s="355"/>
      <c r="FZ24" s="355"/>
      <c r="GA24" s="356">
        <f ca="1">IF(SUM(FR17:FT23)&gt;CO14,CO14/$BQ$4,SUM(GA17:GC23))</f>
        <v>0</v>
      </c>
      <c r="GB24" s="356"/>
      <c r="GC24" s="357"/>
    </row>
    <row r="25" spans="1:185" ht="24.75" thickBot="1">
      <c r="A25" s="158"/>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1"/>
      <c r="AW25" s="144"/>
      <c r="AX25" s="144"/>
      <c r="AY25" s="144"/>
      <c r="AZ25" s="144"/>
      <c r="BA25" s="144"/>
      <c r="BB25" s="144"/>
      <c r="BC25" s="144"/>
      <c r="BD25" s="144"/>
      <c r="BE25" s="144"/>
      <c r="BF25" s="144"/>
      <c r="BV25" s="529"/>
      <c r="BW25" s="529"/>
      <c r="BX25" s="529"/>
      <c r="CB25" s="144"/>
      <c r="CC25" s="144"/>
      <c r="CD25" s="144"/>
      <c r="CE25" s="144"/>
      <c r="CF25" s="144"/>
      <c r="CG25" s="144"/>
      <c r="CH25" s="144"/>
      <c r="CI25" s="144"/>
      <c r="CJ25" s="144"/>
      <c r="CK25" s="144"/>
      <c r="CL25" s="144"/>
      <c r="CM25" s="144"/>
      <c r="CN25" s="144"/>
      <c r="CO25" s="145"/>
      <c r="CP25" s="145"/>
      <c r="CQ25" s="146"/>
      <c r="CR25" s="146"/>
      <c r="CS25" s="146"/>
      <c r="CT25" s="146"/>
      <c r="CU25" s="147"/>
      <c r="CV25" s="147"/>
      <c r="CW25" s="147"/>
      <c r="CX25" s="147"/>
      <c r="CY25" s="147"/>
      <c r="CZ25" s="147"/>
      <c r="DA25" s="147"/>
      <c r="DB25" s="147"/>
      <c r="DC25" s="147"/>
      <c r="DD25" s="147"/>
      <c r="DE25" s="147"/>
      <c r="DF25" s="147"/>
      <c r="DG25" s="147"/>
      <c r="DH25" s="147"/>
      <c r="DI25" s="147"/>
      <c r="DJ25" s="147"/>
      <c r="DK25" s="147"/>
      <c r="DL25" s="147"/>
      <c r="DM25" s="147"/>
      <c r="DN25" s="147"/>
      <c r="DO25" s="147"/>
      <c r="DP25" s="147"/>
      <c r="DQ25" s="147"/>
      <c r="DR25" s="147"/>
      <c r="DS25" s="147"/>
      <c r="DT25" s="147"/>
      <c r="DU25" s="147"/>
      <c r="DV25" s="147"/>
      <c r="DW25" s="147"/>
      <c r="DX25" s="147"/>
      <c r="DY25" s="397" t="s">
        <v>253</v>
      </c>
      <c r="DZ25" s="398"/>
      <c r="EA25" s="398"/>
      <c r="EB25" s="364">
        <f ca="1">ROUNDDOWN(EB24,-2)</f>
        <v>112200</v>
      </c>
      <c r="EC25" s="364"/>
      <c r="ED25" s="364"/>
      <c r="EE25" s="420">
        <f ca="1">ROUNDDOWN(EE24,-2)</f>
        <v>39200</v>
      </c>
      <c r="EF25" s="420"/>
      <c r="EG25" s="420"/>
      <c r="EH25" s="421">
        <f ca="1">ROUNDDOWN(EH24,-2)</f>
        <v>0</v>
      </c>
      <c r="EI25" s="421"/>
      <c r="EJ25" s="465"/>
      <c r="EK25" s="148"/>
      <c r="EL25" s="148"/>
      <c r="EM25" s="148"/>
      <c r="EN25" s="148"/>
      <c r="EO25" s="148"/>
      <c r="EP25" s="148"/>
      <c r="EQ25" s="148"/>
      <c r="ER25" s="148"/>
      <c r="ES25" s="148"/>
      <c r="ET25" s="148"/>
      <c r="EU25" s="148"/>
      <c r="EV25" s="148"/>
      <c r="EW25" s="148"/>
      <c r="EX25" s="148"/>
      <c r="EY25" s="148"/>
      <c r="EZ25" s="148"/>
      <c r="FA25" s="148"/>
      <c r="FB25" s="148"/>
      <c r="FC25" s="148"/>
      <c r="FD25" s="148"/>
      <c r="FE25" s="148"/>
      <c r="FF25" s="148"/>
      <c r="FG25" s="148"/>
      <c r="FH25" s="148"/>
      <c r="FI25" s="659" t="s">
        <v>253</v>
      </c>
      <c r="FJ25" s="660"/>
      <c r="FK25" s="660"/>
      <c r="FL25" s="364">
        <f ca="1">ROUNDDOWN(FL24,-2)</f>
        <v>30200</v>
      </c>
      <c r="FM25" s="364"/>
      <c r="FN25" s="364"/>
      <c r="FO25" s="420">
        <f ca="1">ROUNDDOWN(FO24,-2)</f>
        <v>10500</v>
      </c>
      <c r="FP25" s="420"/>
      <c r="FQ25" s="420"/>
      <c r="FR25" s="421">
        <f ca="1">ROUNDDOWN(FR24,-2)</f>
        <v>0</v>
      </c>
      <c r="FS25" s="421"/>
      <c r="FT25" s="421"/>
      <c r="FU25" s="364">
        <f ca="1">ROUNDDOWN(FU24,-2)</f>
        <v>15100</v>
      </c>
      <c r="FV25" s="364"/>
      <c r="FW25" s="364"/>
      <c r="FX25" s="420">
        <f ca="1">ROUNDDOWN(FX24,-2)</f>
        <v>5200</v>
      </c>
      <c r="FY25" s="420"/>
      <c r="FZ25" s="420"/>
      <c r="GA25" s="421">
        <f ca="1">ROUNDDOWN(GA24,-2)</f>
        <v>0</v>
      </c>
      <c r="GB25" s="421"/>
      <c r="GC25" s="465"/>
    </row>
    <row r="26" spans="1:185">
      <c r="A26" s="158"/>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1"/>
      <c r="AW26" s="144"/>
      <c r="AX26" s="144"/>
      <c r="AY26" s="144"/>
      <c r="AZ26" s="144"/>
      <c r="BA26" s="144"/>
      <c r="BB26" s="144"/>
      <c r="BC26" s="144"/>
      <c r="BD26" s="144"/>
      <c r="BE26" s="144"/>
      <c r="BF26" s="144"/>
      <c r="BG26" s="144"/>
      <c r="BH26" s="144"/>
      <c r="BI26" s="144"/>
      <c r="BJ26" s="144"/>
      <c r="BK26" s="144"/>
      <c r="BL26" s="144"/>
      <c r="BM26" s="144"/>
      <c r="BN26" s="144"/>
      <c r="BO26" s="144"/>
      <c r="BP26" s="144"/>
      <c r="BQ26" s="145"/>
      <c r="BR26" s="145"/>
      <c r="BS26" s="146"/>
      <c r="BT26" s="146"/>
      <c r="BU26" s="146"/>
      <c r="BV26" s="146"/>
      <c r="BW26" s="147"/>
      <c r="BX26" s="147"/>
      <c r="BY26" s="147"/>
      <c r="BZ26" s="147"/>
      <c r="CA26" s="147"/>
      <c r="CB26" s="147"/>
      <c r="CC26" s="147"/>
      <c r="CD26" s="147"/>
      <c r="CE26" s="147"/>
      <c r="CF26" s="147"/>
      <c r="CG26" s="147"/>
      <c r="CH26" s="147"/>
      <c r="CI26" s="147"/>
      <c r="CJ26" s="147"/>
      <c r="CK26" s="147"/>
      <c r="CL26" s="147"/>
      <c r="CM26" s="147"/>
      <c r="CN26" s="147"/>
      <c r="CO26" s="147"/>
      <c r="CP26" s="147"/>
      <c r="CQ26" s="147"/>
      <c r="CR26" s="147"/>
      <c r="CS26" s="147"/>
      <c r="CT26" s="147"/>
      <c r="CU26" s="147"/>
      <c r="CV26" s="147"/>
      <c r="CW26" s="147"/>
      <c r="CX26" s="147"/>
      <c r="CY26" s="147"/>
      <c r="CZ26" s="147"/>
      <c r="DA26" s="147"/>
      <c r="DB26" s="147"/>
      <c r="DC26" s="147"/>
      <c r="DD26" s="148"/>
      <c r="DE26" s="148"/>
      <c r="DF26" s="148"/>
      <c r="DG26" s="148"/>
      <c r="DH26" s="148"/>
      <c r="DI26" s="148"/>
      <c r="DJ26" s="148"/>
      <c r="DK26" s="148"/>
      <c r="DL26" s="148"/>
      <c r="DM26" s="148"/>
      <c r="DN26" s="148"/>
      <c r="DO26" s="148"/>
      <c r="DP26" s="148"/>
      <c r="DQ26" s="148"/>
      <c r="DR26" s="148"/>
      <c r="DS26" s="148"/>
      <c r="DT26" s="148"/>
      <c r="DU26" s="148"/>
      <c r="DV26" s="148"/>
      <c r="DW26" s="148"/>
      <c r="DX26" s="148"/>
      <c r="DY26" s="148"/>
      <c r="DZ26" s="148"/>
      <c r="EA26" s="148"/>
      <c r="EB26" s="148"/>
      <c r="EC26" s="148"/>
      <c r="ED26" s="148"/>
      <c r="EE26" s="148"/>
      <c r="EF26" s="148"/>
      <c r="EG26" s="148"/>
      <c r="EH26" s="148"/>
      <c r="EI26" s="148"/>
      <c r="EJ26" s="148"/>
      <c r="EK26" s="148"/>
      <c r="EL26" s="148"/>
      <c r="EM26" s="148"/>
      <c r="EN26" s="148"/>
      <c r="EO26" s="148"/>
      <c r="EP26" s="148"/>
      <c r="EQ26" s="148"/>
      <c r="ER26" s="148"/>
      <c r="ES26" s="148"/>
      <c r="ET26" s="148"/>
      <c r="EU26" s="148"/>
      <c r="EV26" s="148"/>
      <c r="EW26" s="149"/>
      <c r="EX26" s="149"/>
      <c r="EY26" s="149"/>
      <c r="EZ26" s="149"/>
      <c r="FA26" s="149"/>
      <c r="FB26" s="149"/>
      <c r="FC26" s="149"/>
      <c r="FD26" s="149"/>
      <c r="FE26" s="149"/>
    </row>
    <row r="27" spans="1:185" ht="24" customHeight="1">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W27" s="144"/>
      <c r="AX27" s="144"/>
      <c r="AY27" s="144"/>
      <c r="AZ27" s="144"/>
      <c r="BA27" s="144"/>
      <c r="BB27" s="144"/>
      <c r="BC27" s="144"/>
      <c r="BD27" s="144"/>
      <c r="BE27" s="144"/>
      <c r="BF27" s="144"/>
      <c r="BG27" s="144"/>
      <c r="BH27" s="144"/>
      <c r="BI27" s="144"/>
      <c r="BJ27" s="144"/>
      <c r="BK27" s="144"/>
      <c r="BL27" s="144"/>
      <c r="BM27" s="144"/>
      <c r="BN27" s="144"/>
      <c r="BO27" s="144"/>
      <c r="BP27" s="144"/>
      <c r="BQ27" s="145"/>
      <c r="BR27" s="145"/>
      <c r="BS27" s="146"/>
      <c r="BT27" s="146"/>
      <c r="BU27" s="146"/>
      <c r="BV27" s="146"/>
      <c r="BW27" s="147"/>
      <c r="BX27" s="147"/>
      <c r="BY27" s="147"/>
      <c r="BZ27" s="147"/>
      <c r="CA27" s="147"/>
      <c r="CB27" s="147"/>
      <c r="CC27" s="147"/>
      <c r="CD27" s="147"/>
      <c r="CE27" s="147"/>
      <c r="CF27" s="147"/>
      <c r="CG27" s="147"/>
      <c r="CH27" s="147"/>
      <c r="CI27" s="147"/>
      <c r="CJ27" s="147"/>
      <c r="CK27" s="147"/>
      <c r="CL27" s="147"/>
      <c r="CM27" s="147"/>
      <c r="CN27" s="147"/>
      <c r="CO27" s="147"/>
      <c r="CP27" s="147"/>
      <c r="CQ27" s="147"/>
      <c r="CR27" s="147"/>
      <c r="CS27" s="147"/>
      <c r="CT27" s="147"/>
      <c r="CU27" s="147"/>
      <c r="CV27" s="147"/>
      <c r="CW27" s="147"/>
      <c r="CX27" s="147"/>
      <c r="CY27" s="147"/>
      <c r="CZ27" s="147"/>
      <c r="DA27" s="147"/>
      <c r="DB27" s="147"/>
      <c r="DC27" s="147"/>
      <c r="DD27" s="148"/>
      <c r="DE27" s="148"/>
      <c r="DF27" s="148"/>
      <c r="DG27" s="148"/>
      <c r="DH27" s="148"/>
      <c r="DI27" s="148"/>
      <c r="DJ27" s="148"/>
      <c r="DK27" s="148"/>
      <c r="DL27" s="148"/>
      <c r="DM27" s="148"/>
      <c r="DN27" s="148"/>
      <c r="DO27" s="148"/>
      <c r="DP27" s="148"/>
      <c r="DQ27" s="148"/>
      <c r="DR27" s="148"/>
      <c r="DS27" s="148"/>
      <c r="DT27" s="148"/>
      <c r="DU27" s="148"/>
      <c r="DV27" s="148"/>
      <c r="DW27" s="148"/>
      <c r="DX27" s="148"/>
      <c r="DY27" s="148"/>
      <c r="DZ27" s="148"/>
      <c r="EA27" s="148"/>
      <c r="EB27" s="148"/>
      <c r="EC27" s="148"/>
      <c r="ED27" s="148"/>
      <c r="EE27" s="148"/>
      <c r="EF27" s="148"/>
      <c r="EG27" s="148"/>
      <c r="EH27" s="148"/>
      <c r="EI27" s="148"/>
      <c r="EJ27" s="148"/>
      <c r="EK27" s="148"/>
      <c r="EL27" s="148"/>
      <c r="EM27" s="148"/>
      <c r="EN27" s="148"/>
      <c r="EO27" s="148"/>
      <c r="EP27" s="148"/>
      <c r="EQ27" s="148"/>
      <c r="ER27" s="148"/>
      <c r="ES27" s="148"/>
      <c r="ET27" s="148"/>
      <c r="EU27" s="148"/>
      <c r="EV27" s="148"/>
      <c r="EW27" s="149"/>
      <c r="EX27" s="149"/>
      <c r="EY27" s="149"/>
      <c r="EZ27" s="149"/>
      <c r="FA27" s="149"/>
      <c r="FB27" s="149"/>
      <c r="FC27" s="149"/>
      <c r="FD27" s="149"/>
      <c r="FE27" s="149"/>
    </row>
  </sheetData>
  <sheetProtection selectLockedCells="1"/>
  <mergeCells count="629">
    <mergeCell ref="FO25:FQ25"/>
    <mergeCell ref="FR25:FT25"/>
    <mergeCell ref="FU25:FW25"/>
    <mergeCell ref="FX25:FZ25"/>
    <mergeCell ref="GA25:GC25"/>
    <mergeCell ref="FU24:FW24"/>
    <mergeCell ref="FX24:FZ24"/>
    <mergeCell ref="GA24:GC24"/>
    <mergeCell ref="BV25:BX25"/>
    <mergeCell ref="DY25:EA25"/>
    <mergeCell ref="EB25:ED25"/>
    <mergeCell ref="EE25:EG25"/>
    <mergeCell ref="EH25:EJ25"/>
    <mergeCell ref="FI25:FK25"/>
    <mergeCell ref="FL25:FN25"/>
    <mergeCell ref="FC24:FE24"/>
    <mergeCell ref="FF24:FH24"/>
    <mergeCell ref="FI24:FK24"/>
    <mergeCell ref="FL24:FN24"/>
    <mergeCell ref="FO24:FQ24"/>
    <mergeCell ref="FR24:FT24"/>
    <mergeCell ref="EK24:EM24"/>
    <mergeCell ref="EN24:EP24"/>
    <mergeCell ref="EQ24:ES24"/>
    <mergeCell ref="ET24:EV24"/>
    <mergeCell ref="EW24:EY24"/>
    <mergeCell ref="EZ24:FB24"/>
    <mergeCell ref="DS24:DU24"/>
    <mergeCell ref="DV24:DX24"/>
    <mergeCell ref="DY24:EA24"/>
    <mergeCell ref="EB24:ED24"/>
    <mergeCell ref="EE24:EG24"/>
    <mergeCell ref="EH24:EJ24"/>
    <mergeCell ref="DA24:DC24"/>
    <mergeCell ref="DD24:DF24"/>
    <mergeCell ref="DG24:DI24"/>
    <mergeCell ref="DJ24:DL24"/>
    <mergeCell ref="DM24:DO24"/>
    <mergeCell ref="DP24:DR24"/>
    <mergeCell ref="BY24:CA24"/>
    <mergeCell ref="CO24:CP24"/>
    <mergeCell ref="CQ24:CR24"/>
    <mergeCell ref="CS24:CT24"/>
    <mergeCell ref="CU24:CW24"/>
    <mergeCell ref="CX24:CZ24"/>
    <mergeCell ref="FO23:FQ23"/>
    <mergeCell ref="FR23:FT23"/>
    <mergeCell ref="FU23:FW23"/>
    <mergeCell ref="FX23:FZ23"/>
    <mergeCell ref="GA23:GC23"/>
    <mergeCell ref="AW24:AY24"/>
    <mergeCell ref="AZ24:BA24"/>
    <mergeCell ref="BP24:BR24"/>
    <mergeCell ref="BS24:BU24"/>
    <mergeCell ref="BV24:BX24"/>
    <mergeCell ref="EW23:EY23"/>
    <mergeCell ref="EZ23:FB23"/>
    <mergeCell ref="FC23:FE23"/>
    <mergeCell ref="FF23:FH23"/>
    <mergeCell ref="FI23:FK23"/>
    <mergeCell ref="FL23:FN23"/>
    <mergeCell ref="EE23:EG23"/>
    <mergeCell ref="EH23:EJ23"/>
    <mergeCell ref="EK23:EM23"/>
    <mergeCell ref="EN23:EP23"/>
    <mergeCell ref="EQ23:ES23"/>
    <mergeCell ref="ET23:EV23"/>
    <mergeCell ref="DM23:DO23"/>
    <mergeCell ref="DP23:DR23"/>
    <mergeCell ref="DS23:DU23"/>
    <mergeCell ref="DV23:DX23"/>
    <mergeCell ref="DY23:EA23"/>
    <mergeCell ref="EB23:ED23"/>
    <mergeCell ref="CU23:CW23"/>
    <mergeCell ref="CX23:CZ23"/>
    <mergeCell ref="DA23:DC23"/>
    <mergeCell ref="DD23:DF23"/>
    <mergeCell ref="DG23:DI23"/>
    <mergeCell ref="DJ23:DL23"/>
    <mergeCell ref="CH23:CJ23"/>
    <mergeCell ref="CK23:CL23"/>
    <mergeCell ref="CM23:CN23"/>
    <mergeCell ref="CO23:CP23"/>
    <mergeCell ref="CQ23:CR23"/>
    <mergeCell ref="CS23:CT23"/>
    <mergeCell ref="BP23:BR23"/>
    <mergeCell ref="BS23:BU23"/>
    <mergeCell ref="BV23:BX23"/>
    <mergeCell ref="BY23:CA23"/>
    <mergeCell ref="CB23:CD23"/>
    <mergeCell ref="CE23:CG23"/>
    <mergeCell ref="BD23:BE23"/>
    <mergeCell ref="BF23:BG23"/>
    <mergeCell ref="BH23:BI23"/>
    <mergeCell ref="BJ23:BK23"/>
    <mergeCell ref="BL23:BM23"/>
    <mergeCell ref="BN23:BO23"/>
    <mergeCell ref="X23:AB23"/>
    <mergeCell ref="AC23:AG23"/>
    <mergeCell ref="AH23:AL23"/>
    <mergeCell ref="AW23:AY23"/>
    <mergeCell ref="AZ23:BA23"/>
    <mergeCell ref="BB23:BC23"/>
    <mergeCell ref="FU22:FW22"/>
    <mergeCell ref="FX22:FZ22"/>
    <mergeCell ref="GA22:GC22"/>
    <mergeCell ref="B23:E23"/>
    <mergeCell ref="F23:G23"/>
    <mergeCell ref="H23:I23"/>
    <mergeCell ref="J23:K23"/>
    <mergeCell ref="L23:M23"/>
    <mergeCell ref="N23:R23"/>
    <mergeCell ref="S23:W23"/>
    <mergeCell ref="FC22:FE22"/>
    <mergeCell ref="FF22:FH22"/>
    <mergeCell ref="FI22:FK22"/>
    <mergeCell ref="FL22:FN22"/>
    <mergeCell ref="FO22:FQ22"/>
    <mergeCell ref="FR22:FT22"/>
    <mergeCell ref="EK22:EM22"/>
    <mergeCell ref="EN22:EP22"/>
    <mergeCell ref="EQ22:ES22"/>
    <mergeCell ref="ET22:EV22"/>
    <mergeCell ref="EW22:EY22"/>
    <mergeCell ref="EZ22:FB22"/>
    <mergeCell ref="DS22:DU22"/>
    <mergeCell ref="DV22:DX22"/>
    <mergeCell ref="DY22:EA22"/>
    <mergeCell ref="EB22:ED22"/>
    <mergeCell ref="EE22:EG22"/>
    <mergeCell ref="EH22:EJ22"/>
    <mergeCell ref="DA22:DC22"/>
    <mergeCell ref="DD22:DF22"/>
    <mergeCell ref="DG22:DI22"/>
    <mergeCell ref="DJ22:DL22"/>
    <mergeCell ref="DM22:DO22"/>
    <mergeCell ref="DP22:DR22"/>
    <mergeCell ref="CM22:CN22"/>
    <mergeCell ref="CO22:CP22"/>
    <mergeCell ref="CQ22:CR22"/>
    <mergeCell ref="CS22:CT22"/>
    <mergeCell ref="CU22:CW22"/>
    <mergeCell ref="CX22:CZ22"/>
    <mergeCell ref="BV22:BX22"/>
    <mergeCell ref="BY22:CA22"/>
    <mergeCell ref="CB22:CD22"/>
    <mergeCell ref="CE22:CG22"/>
    <mergeCell ref="CH22:CJ22"/>
    <mergeCell ref="CK22:CL22"/>
    <mergeCell ref="BH22:BI22"/>
    <mergeCell ref="BJ22:BK22"/>
    <mergeCell ref="BL22:BM22"/>
    <mergeCell ref="BN22:BO22"/>
    <mergeCell ref="BP22:BR22"/>
    <mergeCell ref="BS22:BU22"/>
    <mergeCell ref="AH22:AL22"/>
    <mergeCell ref="AW22:AY22"/>
    <mergeCell ref="AZ22:BA22"/>
    <mergeCell ref="BB22:BC22"/>
    <mergeCell ref="BD22:BE22"/>
    <mergeCell ref="BF22:BG22"/>
    <mergeCell ref="GA21:GC21"/>
    <mergeCell ref="B22:E22"/>
    <mergeCell ref="F22:G22"/>
    <mergeCell ref="H22:I22"/>
    <mergeCell ref="J22:K22"/>
    <mergeCell ref="L22:M22"/>
    <mergeCell ref="N22:R22"/>
    <mergeCell ref="S22:W22"/>
    <mergeCell ref="X22:AB22"/>
    <mergeCell ref="AC22:AG22"/>
    <mergeCell ref="FI21:FK21"/>
    <mergeCell ref="FL21:FN21"/>
    <mergeCell ref="FO21:FQ21"/>
    <mergeCell ref="FR21:FT21"/>
    <mergeCell ref="FU21:FW21"/>
    <mergeCell ref="FX21:FZ21"/>
    <mergeCell ref="EQ21:ES21"/>
    <mergeCell ref="ET21:EV21"/>
    <mergeCell ref="EW21:EY21"/>
    <mergeCell ref="EZ21:FB21"/>
    <mergeCell ref="FC21:FE21"/>
    <mergeCell ref="FF21:FH21"/>
    <mergeCell ref="DY21:EA21"/>
    <mergeCell ref="EB21:ED21"/>
    <mergeCell ref="EE21:EG21"/>
    <mergeCell ref="EH21:EJ21"/>
    <mergeCell ref="EK21:EM21"/>
    <mergeCell ref="EN21:EP21"/>
    <mergeCell ref="DG21:DI21"/>
    <mergeCell ref="DJ21:DL21"/>
    <mergeCell ref="DM21:DO21"/>
    <mergeCell ref="DP21:DR21"/>
    <mergeCell ref="DS21:DU21"/>
    <mergeCell ref="DV21:DX21"/>
    <mergeCell ref="CQ21:CR21"/>
    <mergeCell ref="CS21:CT21"/>
    <mergeCell ref="CU21:CW21"/>
    <mergeCell ref="CX21:CZ21"/>
    <mergeCell ref="DA21:DC21"/>
    <mergeCell ref="DD21:DF21"/>
    <mergeCell ref="CB21:CD21"/>
    <mergeCell ref="CE21:CG21"/>
    <mergeCell ref="CH21:CJ21"/>
    <mergeCell ref="CK21:CL21"/>
    <mergeCell ref="CM21:CN21"/>
    <mergeCell ref="CO21:CP21"/>
    <mergeCell ref="BL21:BM21"/>
    <mergeCell ref="BN21:BO21"/>
    <mergeCell ref="BP21:BR21"/>
    <mergeCell ref="BS21:BU21"/>
    <mergeCell ref="BV21:BX21"/>
    <mergeCell ref="BY21:CA21"/>
    <mergeCell ref="AZ21:BA21"/>
    <mergeCell ref="BB21:BC21"/>
    <mergeCell ref="BD21:BE21"/>
    <mergeCell ref="BF21:BG21"/>
    <mergeCell ref="BH21:BI21"/>
    <mergeCell ref="BJ21:BK21"/>
    <mergeCell ref="N21:R21"/>
    <mergeCell ref="S21:W21"/>
    <mergeCell ref="X21:AB21"/>
    <mergeCell ref="AC21:AG21"/>
    <mergeCell ref="AH21:AL21"/>
    <mergeCell ref="AW21:AY21"/>
    <mergeCell ref="FO20:FQ20"/>
    <mergeCell ref="FR20:FT20"/>
    <mergeCell ref="FU20:FW20"/>
    <mergeCell ref="EB20:ED20"/>
    <mergeCell ref="CU20:CW20"/>
    <mergeCell ref="CX20:CZ20"/>
    <mergeCell ref="DA20:DC20"/>
    <mergeCell ref="DD20:DF20"/>
    <mergeCell ref="DG20:DI20"/>
    <mergeCell ref="DJ20:DL20"/>
    <mergeCell ref="CH20:CJ20"/>
    <mergeCell ref="CK20:CL20"/>
    <mergeCell ref="CM20:CN20"/>
    <mergeCell ref="CO20:CP20"/>
    <mergeCell ref="CQ20:CR20"/>
    <mergeCell ref="CS20:CT20"/>
    <mergeCell ref="BP20:BR20"/>
    <mergeCell ref="BS20:BU20"/>
    <mergeCell ref="FX20:FZ20"/>
    <mergeCell ref="GA20:GC20"/>
    <mergeCell ref="B21:E21"/>
    <mergeCell ref="F21:G21"/>
    <mergeCell ref="H21:I21"/>
    <mergeCell ref="J21:K21"/>
    <mergeCell ref="L21:M21"/>
    <mergeCell ref="EW20:EY20"/>
    <mergeCell ref="EZ20:FB20"/>
    <mergeCell ref="FC20:FE20"/>
    <mergeCell ref="FF20:FH20"/>
    <mergeCell ref="FI20:FK20"/>
    <mergeCell ref="FL20:FN20"/>
    <mergeCell ref="EE20:EG20"/>
    <mergeCell ref="EH20:EJ20"/>
    <mergeCell ref="EK20:EM20"/>
    <mergeCell ref="EN20:EP20"/>
    <mergeCell ref="EQ20:ES20"/>
    <mergeCell ref="ET20:EV20"/>
    <mergeCell ref="DM20:DO20"/>
    <mergeCell ref="DP20:DR20"/>
    <mergeCell ref="DS20:DU20"/>
    <mergeCell ref="DV20:DX20"/>
    <mergeCell ref="DY20:EA20"/>
    <mergeCell ref="BV20:BX20"/>
    <mergeCell ref="BY20:CA20"/>
    <mergeCell ref="CB20:CD20"/>
    <mergeCell ref="CE20:CG20"/>
    <mergeCell ref="BD20:BE20"/>
    <mergeCell ref="BF20:BG20"/>
    <mergeCell ref="BH20:BI20"/>
    <mergeCell ref="BJ20:BK20"/>
    <mergeCell ref="BL20:BM20"/>
    <mergeCell ref="BN20:BO20"/>
    <mergeCell ref="X20:AB20"/>
    <mergeCell ref="AC20:AG20"/>
    <mergeCell ref="AH20:AL20"/>
    <mergeCell ref="AW20:AY20"/>
    <mergeCell ref="AZ20:BA20"/>
    <mergeCell ref="BB20:BC20"/>
    <mergeCell ref="FU19:FW19"/>
    <mergeCell ref="FX19:FZ19"/>
    <mergeCell ref="GA19:GC19"/>
    <mergeCell ref="FI19:FK19"/>
    <mergeCell ref="FL19:FN19"/>
    <mergeCell ref="FO19:FQ19"/>
    <mergeCell ref="FR19:FT19"/>
    <mergeCell ref="DJ19:DL19"/>
    <mergeCell ref="DM19:DO19"/>
    <mergeCell ref="DP19:DR19"/>
    <mergeCell ref="CM19:CN19"/>
    <mergeCell ref="CO19:CP19"/>
    <mergeCell ref="CQ19:CR19"/>
    <mergeCell ref="CS19:CT19"/>
    <mergeCell ref="CU19:CW19"/>
    <mergeCell ref="CX19:CZ19"/>
    <mergeCell ref="BV19:BX19"/>
    <mergeCell ref="BY19:CA19"/>
    <mergeCell ref="B20:E20"/>
    <mergeCell ref="F20:G20"/>
    <mergeCell ref="H20:I20"/>
    <mergeCell ref="J20:K20"/>
    <mergeCell ref="L20:M20"/>
    <mergeCell ref="N20:R20"/>
    <mergeCell ref="S20:W20"/>
    <mergeCell ref="FC19:FE19"/>
    <mergeCell ref="FF19:FH19"/>
    <mergeCell ref="EK19:EM19"/>
    <mergeCell ref="EN19:EP19"/>
    <mergeCell ref="EQ19:ES19"/>
    <mergeCell ref="ET19:EV19"/>
    <mergeCell ref="EW19:EY19"/>
    <mergeCell ref="EZ19:FB19"/>
    <mergeCell ref="DS19:DU19"/>
    <mergeCell ref="DV19:DX19"/>
    <mergeCell ref="DY19:EA19"/>
    <mergeCell ref="EB19:ED19"/>
    <mergeCell ref="EE19:EG19"/>
    <mergeCell ref="EH19:EJ19"/>
    <mergeCell ref="DA19:DC19"/>
    <mergeCell ref="DD19:DF19"/>
    <mergeCell ref="DG19:DI19"/>
    <mergeCell ref="CB19:CD19"/>
    <mergeCell ref="CE19:CG19"/>
    <mergeCell ref="CH19:CJ19"/>
    <mergeCell ref="CK19:CL19"/>
    <mergeCell ref="BH19:BI19"/>
    <mergeCell ref="BJ19:BK19"/>
    <mergeCell ref="BL19:BM19"/>
    <mergeCell ref="BN19:BO19"/>
    <mergeCell ref="BP19:BR19"/>
    <mergeCell ref="BS19:BU19"/>
    <mergeCell ref="AH19:AL19"/>
    <mergeCell ref="AW19:AY19"/>
    <mergeCell ref="AZ19:BA19"/>
    <mergeCell ref="BB19:BC19"/>
    <mergeCell ref="BD19:BE19"/>
    <mergeCell ref="BF19:BG19"/>
    <mergeCell ref="GA18:GC18"/>
    <mergeCell ref="B19:E19"/>
    <mergeCell ref="F19:G19"/>
    <mergeCell ref="H19:I19"/>
    <mergeCell ref="J19:K19"/>
    <mergeCell ref="L19:M19"/>
    <mergeCell ref="N19:R19"/>
    <mergeCell ref="S19:W19"/>
    <mergeCell ref="X19:AB19"/>
    <mergeCell ref="AC19:AG19"/>
    <mergeCell ref="FI18:FK18"/>
    <mergeCell ref="FL18:FN18"/>
    <mergeCell ref="FO18:FQ18"/>
    <mergeCell ref="FR18:FT18"/>
    <mergeCell ref="FU18:FW18"/>
    <mergeCell ref="FX18:FZ18"/>
    <mergeCell ref="EQ18:ES18"/>
    <mergeCell ref="ET18:EV18"/>
    <mergeCell ref="EW18:EY18"/>
    <mergeCell ref="EZ18:FB18"/>
    <mergeCell ref="FC18:FE18"/>
    <mergeCell ref="FF18:FH18"/>
    <mergeCell ref="DY18:EA18"/>
    <mergeCell ref="EB18:ED18"/>
    <mergeCell ref="EE18:EG18"/>
    <mergeCell ref="EH18:EJ18"/>
    <mergeCell ref="EK18:EM18"/>
    <mergeCell ref="EN18:EP18"/>
    <mergeCell ref="DG18:DI18"/>
    <mergeCell ref="DJ18:DL18"/>
    <mergeCell ref="DM18:DO18"/>
    <mergeCell ref="DP18:DR18"/>
    <mergeCell ref="DS18:DU18"/>
    <mergeCell ref="DV18:DX18"/>
    <mergeCell ref="CQ18:CR18"/>
    <mergeCell ref="CS18:CT18"/>
    <mergeCell ref="CU18:CW18"/>
    <mergeCell ref="CX18:CZ18"/>
    <mergeCell ref="DA18:DC18"/>
    <mergeCell ref="DD18:DF18"/>
    <mergeCell ref="CB18:CD18"/>
    <mergeCell ref="CE18:CG18"/>
    <mergeCell ref="CH18:CJ18"/>
    <mergeCell ref="CK18:CL18"/>
    <mergeCell ref="CM18:CN18"/>
    <mergeCell ref="CO18:CP18"/>
    <mergeCell ref="BL18:BM18"/>
    <mergeCell ref="BN18:BO18"/>
    <mergeCell ref="BP18:BR18"/>
    <mergeCell ref="BS18:BU18"/>
    <mergeCell ref="BV18:BX18"/>
    <mergeCell ref="BY18:CA18"/>
    <mergeCell ref="AZ18:BA18"/>
    <mergeCell ref="BB18:BC18"/>
    <mergeCell ref="BD18:BE18"/>
    <mergeCell ref="BF18:BG18"/>
    <mergeCell ref="BH18:BI18"/>
    <mergeCell ref="BJ18:BK18"/>
    <mergeCell ref="N18:R18"/>
    <mergeCell ref="S18:W18"/>
    <mergeCell ref="X18:AB18"/>
    <mergeCell ref="AC18:AG18"/>
    <mergeCell ref="AH18:AL18"/>
    <mergeCell ref="AW18:AY18"/>
    <mergeCell ref="FO17:FQ17"/>
    <mergeCell ref="FR17:FT17"/>
    <mergeCell ref="FU17:FW17"/>
    <mergeCell ref="FX17:FZ17"/>
    <mergeCell ref="GA17:GC17"/>
    <mergeCell ref="B18:E18"/>
    <mergeCell ref="F18:G18"/>
    <mergeCell ref="H18:I18"/>
    <mergeCell ref="J18:K18"/>
    <mergeCell ref="L18:M18"/>
    <mergeCell ref="EW17:EY17"/>
    <mergeCell ref="EZ17:FB17"/>
    <mergeCell ref="FC17:FE17"/>
    <mergeCell ref="FF17:FH17"/>
    <mergeCell ref="FI17:FK17"/>
    <mergeCell ref="FL17:FN17"/>
    <mergeCell ref="EE17:EG17"/>
    <mergeCell ref="EH17:EJ17"/>
    <mergeCell ref="EK17:EM17"/>
    <mergeCell ref="EN17:EP17"/>
    <mergeCell ref="EQ17:ES17"/>
    <mergeCell ref="ET17:EV17"/>
    <mergeCell ref="DM17:DO17"/>
    <mergeCell ref="DP17:DR17"/>
    <mergeCell ref="DS17:DU17"/>
    <mergeCell ref="DV17:DX17"/>
    <mergeCell ref="DY17:EA17"/>
    <mergeCell ref="EB17:ED17"/>
    <mergeCell ref="CU17:CW17"/>
    <mergeCell ref="CX17:CZ17"/>
    <mergeCell ref="DA17:DC17"/>
    <mergeCell ref="DD17:DF17"/>
    <mergeCell ref="DG17:DI17"/>
    <mergeCell ref="DJ17:DL17"/>
    <mergeCell ref="CK17:CL17"/>
    <mergeCell ref="CM17:CN17"/>
    <mergeCell ref="CO17:CP17"/>
    <mergeCell ref="CQ17:CR17"/>
    <mergeCell ref="CS17:CT17"/>
    <mergeCell ref="BP17:BR17"/>
    <mergeCell ref="BS17:BU17"/>
    <mergeCell ref="BV17:BX17"/>
    <mergeCell ref="BY17:CA17"/>
    <mergeCell ref="CB17:CD17"/>
    <mergeCell ref="CE17:CG17"/>
    <mergeCell ref="FL16:FN16"/>
    <mergeCell ref="FO16:FQ16"/>
    <mergeCell ref="FR16:FT16"/>
    <mergeCell ref="EK16:EM16"/>
    <mergeCell ref="EN16:EP16"/>
    <mergeCell ref="EQ16:ES16"/>
    <mergeCell ref="ET16:EV16"/>
    <mergeCell ref="EW16:EY16"/>
    <mergeCell ref="EZ16:FB16"/>
    <mergeCell ref="B17:E17"/>
    <mergeCell ref="F17:G17"/>
    <mergeCell ref="H17:I17"/>
    <mergeCell ref="J17:K17"/>
    <mergeCell ref="L17:M17"/>
    <mergeCell ref="N17:R17"/>
    <mergeCell ref="S17:W17"/>
    <mergeCell ref="FC16:FE16"/>
    <mergeCell ref="FF16:FH16"/>
    <mergeCell ref="DS16:DU16"/>
    <mergeCell ref="DV16:DX16"/>
    <mergeCell ref="BD17:BE17"/>
    <mergeCell ref="BF17:BG17"/>
    <mergeCell ref="BH17:BI17"/>
    <mergeCell ref="BJ17:BK17"/>
    <mergeCell ref="BL17:BM17"/>
    <mergeCell ref="BN17:BO17"/>
    <mergeCell ref="X17:AB17"/>
    <mergeCell ref="AC17:AG17"/>
    <mergeCell ref="AH17:AL17"/>
    <mergeCell ref="AW17:AY17"/>
    <mergeCell ref="AZ17:BA17"/>
    <mergeCell ref="BB17:BC17"/>
    <mergeCell ref="CH17:CJ17"/>
    <mergeCell ref="DA15:EJ15"/>
    <mergeCell ref="EK15:FT15"/>
    <mergeCell ref="FU15:GC15"/>
    <mergeCell ref="CO14:CQ15"/>
    <mergeCell ref="CM16:CN16"/>
    <mergeCell ref="CO16:CP16"/>
    <mergeCell ref="CQ16:CR16"/>
    <mergeCell ref="CS16:CT16"/>
    <mergeCell ref="CU16:CW16"/>
    <mergeCell ref="CX16:CZ16"/>
    <mergeCell ref="DY16:EA16"/>
    <mergeCell ref="EB16:ED16"/>
    <mergeCell ref="EE16:EG16"/>
    <mergeCell ref="EH16:EJ16"/>
    <mergeCell ref="DA16:DC16"/>
    <mergeCell ref="DD16:DF16"/>
    <mergeCell ref="DG16:DI16"/>
    <mergeCell ref="DJ16:DL16"/>
    <mergeCell ref="DM16:DO16"/>
    <mergeCell ref="DP16:DR16"/>
    <mergeCell ref="FU16:FW16"/>
    <mergeCell ref="FX16:FZ16"/>
    <mergeCell ref="GA16:GC16"/>
    <mergeCell ref="FI16:FK16"/>
    <mergeCell ref="CI14:CK15"/>
    <mergeCell ref="CL14:CN15"/>
    <mergeCell ref="BX14:BZ15"/>
    <mergeCell ref="CA14:CB15"/>
    <mergeCell ref="CC14:CE15"/>
    <mergeCell ref="CF14:CH15"/>
    <mergeCell ref="BB16:BC16"/>
    <mergeCell ref="BD16:BG16"/>
    <mergeCell ref="BH16:BK16"/>
    <mergeCell ref="BL16:BO16"/>
    <mergeCell ref="BP16:BR16"/>
    <mergeCell ref="BS16:BU16"/>
    <mergeCell ref="BV16:BX16"/>
    <mergeCell ref="BY16:CA16"/>
    <mergeCell ref="CB16:CD16"/>
    <mergeCell ref="CE16:CG16"/>
    <mergeCell ref="CH16:CJ16"/>
    <mergeCell ref="CK16:CL16"/>
    <mergeCell ref="B15:E16"/>
    <mergeCell ref="F15:M15"/>
    <mergeCell ref="N15:AB15"/>
    <mergeCell ref="AC15:AG16"/>
    <mergeCell ref="AH15:AL16"/>
    <mergeCell ref="AW16:AY16"/>
    <mergeCell ref="AZ16:BA16"/>
    <mergeCell ref="BR14:BT15"/>
    <mergeCell ref="BU14:BW15"/>
    <mergeCell ref="F16:G16"/>
    <mergeCell ref="H16:I16"/>
    <mergeCell ref="J16:K16"/>
    <mergeCell ref="L16:M16"/>
    <mergeCell ref="N16:R16"/>
    <mergeCell ref="S16:W16"/>
    <mergeCell ref="X16:AB16"/>
    <mergeCell ref="CI13:CK13"/>
    <mergeCell ref="CL13:CN13"/>
    <mergeCell ref="CO13:CQ13"/>
    <mergeCell ref="AW14:AY15"/>
    <mergeCell ref="AZ14:BB15"/>
    <mergeCell ref="BC14:BE15"/>
    <mergeCell ref="BF14:BH15"/>
    <mergeCell ref="BI14:BK15"/>
    <mergeCell ref="BL14:BN15"/>
    <mergeCell ref="BO14:BQ15"/>
    <mergeCell ref="CF12:CH13"/>
    <mergeCell ref="CI12:CQ12"/>
    <mergeCell ref="AW13:AY13"/>
    <mergeCell ref="AZ13:BB13"/>
    <mergeCell ref="BC13:BE13"/>
    <mergeCell ref="BF13:BH13"/>
    <mergeCell ref="BI13:BK13"/>
    <mergeCell ref="BL13:BN13"/>
    <mergeCell ref="BO13:BQ13"/>
    <mergeCell ref="BR13:BT13"/>
    <mergeCell ref="AW12:BE12"/>
    <mergeCell ref="BF12:BN12"/>
    <mergeCell ref="BO12:BW12"/>
    <mergeCell ref="BX12:BZ13"/>
    <mergeCell ref="CA12:CB13"/>
    <mergeCell ref="CC12:CE13"/>
    <mergeCell ref="BU13:BW13"/>
    <mergeCell ref="BR9:BS10"/>
    <mergeCell ref="A10:A11"/>
    <mergeCell ref="F10:G11"/>
    <mergeCell ref="H10:I11"/>
    <mergeCell ref="J10:K11"/>
    <mergeCell ref="L10:M11"/>
    <mergeCell ref="N10:R11"/>
    <mergeCell ref="S10:W11"/>
    <mergeCell ref="X10:AB11"/>
    <mergeCell ref="AC10:AG11"/>
    <mergeCell ref="BB9:BC10"/>
    <mergeCell ref="BD9:BF10"/>
    <mergeCell ref="BG9:BI10"/>
    <mergeCell ref="BJ9:BL10"/>
    <mergeCell ref="BM9:BO10"/>
    <mergeCell ref="BP9:BQ10"/>
    <mergeCell ref="B8:E11"/>
    <mergeCell ref="BR8:BS8"/>
    <mergeCell ref="F9:G9"/>
    <mergeCell ref="H9:I9"/>
    <mergeCell ref="J9:K9"/>
    <mergeCell ref="BJ8:BL8"/>
    <mergeCell ref="BM8:BO8"/>
    <mergeCell ref="BP8:BQ8"/>
    <mergeCell ref="F8:M8"/>
    <mergeCell ref="N8:AB8"/>
    <mergeCell ref="AC8:AG9"/>
    <mergeCell ref="AW8:AY8"/>
    <mergeCell ref="AZ8:BA8"/>
    <mergeCell ref="AW9:AY10"/>
    <mergeCell ref="AZ9:BA10"/>
    <mergeCell ref="L9:M9"/>
    <mergeCell ref="N9:R9"/>
    <mergeCell ref="S9:W9"/>
    <mergeCell ref="X9:AB9"/>
    <mergeCell ref="AU9:AU10"/>
    <mergeCell ref="AV9:AV10"/>
    <mergeCell ref="BB8:BC8"/>
    <mergeCell ref="BD8:BF8"/>
    <mergeCell ref="BG8:BI8"/>
    <mergeCell ref="BF4:BH5"/>
    <mergeCell ref="BI4:BJ5"/>
    <mergeCell ref="BK4:BM5"/>
    <mergeCell ref="BN4:BP5"/>
    <mergeCell ref="BQ4:BS5"/>
    <mergeCell ref="AZ6:BB6"/>
    <mergeCell ref="BC6:BE6"/>
    <mergeCell ref="BF6:BH6"/>
    <mergeCell ref="BF2:BJ3"/>
    <mergeCell ref="BK2:BM3"/>
    <mergeCell ref="BN2:BP3"/>
    <mergeCell ref="BQ2:BS3"/>
    <mergeCell ref="C4:D4"/>
    <mergeCell ref="E4:F4"/>
    <mergeCell ref="H4:I4"/>
    <mergeCell ref="AW4:AY5"/>
    <mergeCell ref="AZ4:BB5"/>
    <mergeCell ref="BC4:BE5"/>
    <mergeCell ref="AW2:AY3"/>
    <mergeCell ref="AZ2:BB3"/>
    <mergeCell ref="BC2:BE3"/>
  </mergeCells>
  <phoneticPr fontId="2"/>
  <printOptions horizontalCentered="1" verticalCentered="1"/>
  <pageMargins left="0.39370078740157483" right="0.39370078740157483" top="0.39370078740157483" bottom="0.39370078740157483" header="0.31496062992125984" footer="0.31496062992125984"/>
  <pageSetup paperSize="9" scale="81" fitToHeight="0" orientation="landscape" r:id="rId1"/>
  <colBreaks count="1" manualBreakCount="1">
    <brk id="47" min="1" max="42" man="1"/>
  </col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0000000}">
          <x14:formula1>
            <xm:f>テーブル!$K$2:$K$4</xm:f>
          </x14:formula1>
          <xm:sqref>E4:F4</xm:sqref>
        </x14:dataValidation>
        <x14:dataValidation type="list" allowBlank="1" showInputMessage="1" showErrorMessage="1" xr:uid="{00000000-0002-0000-0500-000001000000}">
          <x14:formula1>
            <xm:f>テーブル!$I$2:$I$3</xm:f>
          </x14:formula1>
          <xm:sqref>AH17:AH23</xm:sqref>
        </x14:dataValidation>
        <x14:dataValidation type="list" allowBlank="1" showInputMessage="1" showErrorMessage="1" xr:uid="{00000000-0002-0000-0500-000002000000}">
          <x14:formula1>
            <xm:f>テーブル!$G$2:$G$3</xm:f>
          </x14:formula1>
          <xm:sqref>AC17:AG23</xm:sqref>
        </x14:dataValidation>
        <x14:dataValidation type="list" allowBlank="1" showInputMessage="1" showErrorMessage="1" xr:uid="{00000000-0002-0000-0500-000003000000}">
          <x14:formula1>
            <xm:f>テーブル!$E$2:$E$3</xm:f>
          </x14:formula1>
          <xm:sqref>AC10:AG11</xm:sqref>
        </x14:dataValidation>
        <x14:dataValidation type="list" allowBlank="1" showInputMessage="1" showErrorMessage="1" xr:uid="{00000000-0002-0000-0500-000004000000}">
          <x14:formula1>
            <xm:f>テーブル!$A$2:$A$5</xm:f>
          </x14:formula1>
          <xm:sqref>F10:G11 F18:G23</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簡易試算表</vt:lpstr>
      <vt:lpstr>テーブル</vt:lpstr>
      <vt:lpstr>案分率等</vt:lpstr>
      <vt:lpstr>所得換算</vt:lpstr>
      <vt:lpstr>軽減計算</vt:lpstr>
      <vt:lpstr>貼り付け図</vt:lpstr>
      <vt:lpstr>簡易試算表!Print_Area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2025-01-17T04:16:49Z</cp:lastPrinted>
  <dcterms:created xsi:type="dcterms:W3CDTF">2024-11-29T05:02:28Z</dcterms:created>
  <dcterms:modified xsi:type="dcterms:W3CDTF">2025-03-13T01:05:56Z</dcterms:modified>
</cp:coreProperties>
</file>